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trlProps/ctrlProp2.xml" ContentType="application/vnd.ms-excel.controlpropertie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codeName="{74837BA0-65D6-932C-5D65-3B800EBDC722}"/>
  <workbookPr codeName="DieseArbeitsmappe" defaultThemeVersion="124226"/>
  <mc:AlternateContent xmlns:mc="http://schemas.openxmlformats.org/markup-compatibility/2006">
    <mc:Choice Requires="x15">
      <x15ac:absPath xmlns:x15ac="http://schemas.microsoft.com/office/spreadsheetml/2010/11/ac" url="L:\Purchasing\Tools and Processes\Supplier documents\Updated FIles not yet on Web\"/>
    </mc:Choice>
  </mc:AlternateContent>
  <xr:revisionPtr revIDLastSave="0" documentId="13_ncr:1_{2F646D1D-1F69-449F-AE87-7AC2D4F722D2}" xr6:coauthVersionLast="41" xr6:coauthVersionMax="41" xr10:uidLastSave="{00000000-0000-0000-0000-000000000000}"/>
  <workbookProtection workbookPassword="C79A" lockStructure="1"/>
  <bookViews>
    <workbookView xWindow="-28908" yWindow="-108" windowWidth="29016" windowHeight="15816" xr2:uid="{00000000-000D-0000-FFFF-FFFF00000000}"/>
  </bookViews>
  <sheets>
    <sheet name="Frontpage " sheetId="10" r:id="rId1"/>
    <sheet name="Company_Profile" sheetId="1" r:id="rId2"/>
    <sheet name="Quality" sheetId="13" r:id="rId3"/>
    <sheet name="Questions_QMS" sheetId="2" r:id="rId4"/>
    <sheet name="Questions_H_S" sheetId="11" r:id="rId5"/>
    <sheet name="Questions_GCP" sheetId="12" r:id="rId6"/>
    <sheet name="Vocabularies" sheetId="5" state="veryHidden" r:id="rId7"/>
    <sheet name="Formeln" sheetId="7" state="veryHidden" r:id="rId8"/>
  </sheets>
  <functionGroups builtInGroupCount="19"/>
  <definedNames>
    <definedName name="_xlnm.Print_Area" localSheetId="1">Company_Profile!$A$2:$Z$121</definedName>
    <definedName name="_xlnm.Print_Area" localSheetId="7">Formeln!$A$1:$B$1</definedName>
    <definedName name="_xlnm.Print_Area" localSheetId="0">'Frontpage '!$A$2:$Z$72</definedName>
    <definedName name="_xlnm.Print_Area" localSheetId="2">Quality!$A$2:$Z$48</definedName>
    <definedName name="_xlnm.Print_Area" localSheetId="5">Questions_GCP!$A$1:$T$29</definedName>
    <definedName name="_xlnm.Print_Area" localSheetId="4">Questions_H_S!$A$1:$T$59</definedName>
    <definedName name="_xlnm.Print_Area" localSheetId="3">Questions_QMS!$A$1:$T$261</definedName>
    <definedName name="_xlnm.Print_Titles" localSheetId="1">Company_Profile!$2:$5</definedName>
    <definedName name="_xlnm.Print_Titles" localSheetId="2">Quality!$2:$5</definedName>
    <definedName name="_xlnm.Print_Titles" localSheetId="5">Questions_GCP!$1:$6</definedName>
    <definedName name="_xlnm.Print_Titles" localSheetId="4">Questions_H_S!$1:$6</definedName>
    <definedName name="_xlnm.Print_Titles" localSheetId="3">Questions_QMS!$1:$6</definedName>
    <definedName name="Z_361266F1_4AF5_4F0A_8FC6_0F39C1250F75_.wvu.PrintArea" localSheetId="1" hidden="1">Company_Profile!$A$2:$Z$121</definedName>
    <definedName name="Z_361266F1_4AF5_4F0A_8FC6_0F39C1250F75_.wvu.PrintArea" localSheetId="7" hidden="1">Formeln!$A$1:$B$1</definedName>
    <definedName name="Z_361266F1_4AF5_4F0A_8FC6_0F39C1250F75_.wvu.PrintArea" localSheetId="0" hidden="1">'Frontpage '!#REF!</definedName>
    <definedName name="Z_361266F1_4AF5_4F0A_8FC6_0F39C1250F75_.wvu.PrintArea" localSheetId="2" hidden="1">Quality!$A$2:$Z$48</definedName>
    <definedName name="Z_361266F1_4AF5_4F0A_8FC6_0F39C1250F75_.wvu.PrintArea" localSheetId="5" hidden="1">Questions_GCP!$A$1:$T$29</definedName>
    <definedName name="Z_361266F1_4AF5_4F0A_8FC6_0F39C1250F75_.wvu.PrintArea" localSheetId="4" hidden="1">Questions_H_S!$A$1:$T$37</definedName>
    <definedName name="Z_361266F1_4AF5_4F0A_8FC6_0F39C1250F75_.wvu.PrintArea" localSheetId="3" hidden="1">Questions_QMS!$A$1:$T$78</definedName>
    <definedName name="Z_361266F1_4AF5_4F0A_8FC6_0F39C1250F75_.wvu.PrintTitles" localSheetId="5" hidden="1">Questions_GCP!$1:$6</definedName>
    <definedName name="Z_361266F1_4AF5_4F0A_8FC6_0F39C1250F75_.wvu.PrintTitles" localSheetId="4" hidden="1">Questions_H_S!$1:$6</definedName>
    <definedName name="Z_361266F1_4AF5_4F0A_8FC6_0F39C1250F75_.wvu.PrintTitles" localSheetId="3" hidden="1">Questions_QMS!$1:$6</definedName>
    <definedName name="Z_94C000B2_F1E8_4309_B026_879312EBDDFE_.wvu.PrintArea" localSheetId="1" hidden="1">Company_Profile!$A$2:$Z$121</definedName>
    <definedName name="Z_94C000B2_F1E8_4309_B026_879312EBDDFE_.wvu.PrintArea" localSheetId="7" hidden="1">Formeln!$A$1:$B$1</definedName>
    <definedName name="Z_94C000B2_F1E8_4309_B026_879312EBDDFE_.wvu.PrintArea" localSheetId="0" hidden="1">'Frontpage '!#REF!</definedName>
    <definedName name="Z_94C000B2_F1E8_4309_B026_879312EBDDFE_.wvu.PrintArea" localSheetId="2" hidden="1">Quality!$A$2:$Z$48</definedName>
    <definedName name="Z_94C000B2_F1E8_4309_B026_879312EBDDFE_.wvu.PrintArea" localSheetId="5" hidden="1">Questions_GCP!$A$1:$T$29</definedName>
    <definedName name="Z_94C000B2_F1E8_4309_B026_879312EBDDFE_.wvu.PrintArea" localSheetId="4" hidden="1">Questions_H_S!$A$1:$T$37</definedName>
    <definedName name="Z_94C000B2_F1E8_4309_B026_879312EBDDFE_.wvu.PrintArea" localSheetId="3" hidden="1">Questions_QMS!$A$1:$T$78</definedName>
    <definedName name="Z_94C000B2_F1E8_4309_B026_879312EBDDFE_.wvu.PrintTitles" localSheetId="5" hidden="1">Questions_GCP!$1:$6</definedName>
    <definedName name="Z_94C000B2_F1E8_4309_B026_879312EBDDFE_.wvu.PrintTitles" localSheetId="4" hidden="1">Questions_H_S!$1:$6</definedName>
    <definedName name="Z_94C000B2_F1E8_4309_B026_879312EBDDFE_.wvu.PrintTitles" localSheetId="3" hidden="1">Questions_QMS!$1:$6</definedName>
  </definedNames>
  <calcPr calcId="191029"/>
  <customWorkbookViews>
    <customWorkbookView name="Lachensk - Persönliche Ansicht" guid="{94C000B2-F1E8-4309-B026-879312EBDDFE}" mergeInterval="0" personalView="1" maximized="1" windowWidth="1276" windowHeight="632" activeSheetId="4"/>
    <customWorkbookView name="Klaus - Persönliche Ansicht" guid="{361266F1-4AF5-4F0A-8FC6-0F39C1250F75}" mergeInterval="0" personalView="1" maximized="1" xWindow="1" yWindow="1" windowWidth="1280" windowHeight="762" activeSheetId="4"/>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4" i="12" l="1"/>
  <c r="M10" i="1"/>
  <c r="B260" i="2"/>
  <c r="B257" i="2"/>
  <c r="B254" i="2"/>
  <c r="B251" i="2"/>
  <c r="B38" i="1"/>
  <c r="B37" i="1"/>
  <c r="C127" i="2"/>
  <c r="B127" i="2"/>
  <c r="T127" i="2"/>
  <c r="P93" i="1"/>
  <c r="B4" i="7"/>
  <c r="G16" i="7" s="1"/>
  <c r="B3" i="7"/>
  <c r="F16" i="7" s="1"/>
  <c r="B2" i="7"/>
  <c r="E16" i="7" s="1"/>
  <c r="B34" i="1"/>
  <c r="F19" i="7"/>
  <c r="C3" i="7"/>
  <c r="F23" i="7" s="1"/>
  <c r="C4" i="7"/>
  <c r="G18" i="7"/>
  <c r="C58" i="11"/>
  <c r="C55" i="11"/>
  <c r="C52" i="11"/>
  <c r="C49" i="11"/>
  <c r="C44" i="11"/>
  <c r="C41" i="11"/>
  <c r="R39" i="11"/>
  <c r="H39" i="11"/>
  <c r="B39" i="11"/>
  <c r="B58" i="11"/>
  <c r="B55" i="11"/>
  <c r="B52" i="11"/>
  <c r="B49" i="11"/>
  <c r="B44" i="11"/>
  <c r="B41" i="11"/>
  <c r="T58" i="11"/>
  <c r="T55" i="11"/>
  <c r="T52" i="11"/>
  <c r="T49" i="11"/>
  <c r="T44" i="11"/>
  <c r="T41" i="11"/>
  <c r="A32" i="13"/>
  <c r="W12" i="2"/>
  <c r="V12" i="2"/>
  <c r="W9" i="2"/>
  <c r="V9" i="2"/>
  <c r="I2" i="2"/>
  <c r="S33" i="13"/>
  <c r="P33" i="13"/>
  <c r="M33" i="13"/>
  <c r="J33" i="13"/>
  <c r="B33" i="13"/>
  <c r="B41" i="13"/>
  <c r="B40" i="13"/>
  <c r="B39" i="13"/>
  <c r="B38" i="13"/>
  <c r="B37" i="13"/>
  <c r="B36" i="13"/>
  <c r="B35" i="13"/>
  <c r="B34" i="13"/>
  <c r="A17" i="13"/>
  <c r="B18" i="13"/>
  <c r="B15" i="13"/>
  <c r="B14" i="13"/>
  <c r="B13" i="13"/>
  <c r="B12" i="13"/>
  <c r="B11" i="13"/>
  <c r="B10" i="13"/>
  <c r="U18" i="13"/>
  <c r="N18" i="13"/>
  <c r="U10" i="13"/>
  <c r="N10" i="13"/>
  <c r="J10" i="13"/>
  <c r="G10" i="13"/>
  <c r="A7" i="13"/>
  <c r="A6" i="13"/>
  <c r="W4" i="13"/>
  <c r="A5" i="13"/>
  <c r="S4" i="13"/>
  <c r="N2" i="13"/>
  <c r="M2" i="13"/>
  <c r="L2" i="13"/>
  <c r="K2" i="13"/>
  <c r="J2" i="13"/>
  <c r="I2" i="13"/>
  <c r="H2" i="13"/>
  <c r="G2" i="13"/>
  <c r="F2" i="13"/>
  <c r="E2" i="13"/>
  <c r="D2" i="13"/>
  <c r="C2" i="13"/>
  <c r="B2" i="13"/>
  <c r="A2" i="13"/>
  <c r="U106" i="1"/>
  <c r="N106" i="1"/>
  <c r="H106" i="1"/>
  <c r="A106" i="1"/>
  <c r="P100" i="1"/>
  <c r="U100" i="1"/>
  <c r="A105" i="1"/>
  <c r="A99" i="1"/>
  <c r="L100" i="1"/>
  <c r="G100" i="1"/>
  <c r="A100" i="1"/>
  <c r="A97" i="1"/>
  <c r="A5" i="1"/>
  <c r="J93" i="1"/>
  <c r="G93" i="1"/>
  <c r="A94" i="1"/>
  <c r="A95" i="1"/>
  <c r="A92" i="1"/>
  <c r="A90" i="1"/>
  <c r="W90" i="1"/>
  <c r="W89" i="1"/>
  <c r="W88" i="1"/>
  <c r="W87" i="1"/>
  <c r="W86" i="1"/>
  <c r="F86" i="1"/>
  <c r="F90" i="1"/>
  <c r="F89" i="1"/>
  <c r="F88" i="1"/>
  <c r="F87" i="1"/>
  <c r="A86" i="1"/>
  <c r="A89" i="1"/>
  <c r="A88" i="1"/>
  <c r="A87" i="1"/>
  <c r="A85" i="1"/>
  <c r="L85" i="1"/>
  <c r="A68" i="1"/>
  <c r="D77" i="1"/>
  <c r="D78" i="1"/>
  <c r="D79" i="1"/>
  <c r="D76" i="1"/>
  <c r="C77" i="1"/>
  <c r="C78" i="1"/>
  <c r="C79" i="1"/>
  <c r="C76" i="1"/>
  <c r="Q77" i="1"/>
  <c r="Q78" i="1"/>
  <c r="Q79" i="1"/>
  <c r="Q76" i="1"/>
  <c r="P77" i="1"/>
  <c r="P78" i="1"/>
  <c r="P79" i="1"/>
  <c r="P76" i="1"/>
  <c r="O77" i="1"/>
  <c r="O78" i="1"/>
  <c r="O79" i="1"/>
  <c r="O76" i="1"/>
  <c r="W69" i="1"/>
  <c r="R69" i="1" s="1"/>
  <c r="P75" i="1" s="1"/>
  <c r="O69" i="1"/>
  <c r="O75" i="1" s="1"/>
  <c r="A73" i="1"/>
  <c r="B79" i="1" s="1"/>
  <c r="L73" i="1"/>
  <c r="M79" i="1" s="1"/>
  <c r="L72" i="1"/>
  <c r="M78" i="1" s="1"/>
  <c r="L71" i="1"/>
  <c r="M77" i="1" s="1"/>
  <c r="L70" i="1"/>
  <c r="M76" i="1" s="1"/>
  <c r="L69" i="1"/>
  <c r="L68" i="1"/>
  <c r="F69" i="1"/>
  <c r="D75" i="1" s="1"/>
  <c r="C69" i="1"/>
  <c r="C75" i="1" s="1"/>
  <c r="A69" i="1"/>
  <c r="A53" i="1"/>
  <c r="A52" i="1"/>
  <c r="A51" i="1"/>
  <c r="A50" i="1"/>
  <c r="R26" i="11"/>
  <c r="R92" i="2"/>
  <c r="R129" i="2"/>
  <c r="R175" i="2"/>
  <c r="R191" i="2"/>
  <c r="R210" i="2"/>
  <c r="R232" i="2"/>
  <c r="R245" i="2"/>
  <c r="R249" i="2"/>
  <c r="R79" i="2"/>
  <c r="R66" i="2"/>
  <c r="R62" i="2"/>
  <c r="R49" i="2"/>
  <c r="R33" i="2"/>
  <c r="R26" i="2"/>
  <c r="R7" i="2"/>
  <c r="R8" i="12"/>
  <c r="R7" i="11"/>
  <c r="H7" i="2"/>
  <c r="G19" i="7"/>
  <c r="C28" i="12"/>
  <c r="C25" i="12"/>
  <c r="C22" i="12"/>
  <c r="C19" i="12"/>
  <c r="C16" i="12"/>
  <c r="C13" i="12"/>
  <c r="C10" i="12"/>
  <c r="B8" i="12"/>
  <c r="A7" i="12"/>
  <c r="A5" i="12"/>
  <c r="T28" i="12"/>
  <c r="B28" i="12"/>
  <c r="T25" i="12"/>
  <c r="B25" i="12"/>
  <c r="T22" i="12"/>
  <c r="B22" i="12"/>
  <c r="T19" i="12"/>
  <c r="B19" i="12"/>
  <c r="T16" i="12"/>
  <c r="B16" i="12"/>
  <c r="T13" i="12"/>
  <c r="B13" i="12"/>
  <c r="T10" i="12"/>
  <c r="B10" i="12"/>
  <c r="H8" i="12"/>
  <c r="C3" i="12"/>
  <c r="A3" i="12"/>
  <c r="I2" i="12"/>
  <c r="I1" i="12"/>
  <c r="C1" i="12"/>
  <c r="B1" i="12"/>
  <c r="A1" i="12"/>
  <c r="C2" i="7"/>
  <c r="B37" i="11"/>
  <c r="B34" i="11"/>
  <c r="B31" i="11"/>
  <c r="B28" i="11"/>
  <c r="C37" i="11"/>
  <c r="C34" i="11"/>
  <c r="C31" i="11"/>
  <c r="C28" i="11"/>
  <c r="B26" i="11"/>
  <c r="C24" i="11"/>
  <c r="C21" i="11"/>
  <c r="C18" i="11"/>
  <c r="C15" i="11"/>
  <c r="C12" i="11"/>
  <c r="C9" i="11"/>
  <c r="B7" i="11"/>
  <c r="I4" i="11"/>
  <c r="I2" i="11"/>
  <c r="I4" i="2"/>
  <c r="A5" i="11"/>
  <c r="C3" i="11"/>
  <c r="A3" i="11"/>
  <c r="A3" i="2"/>
  <c r="A5" i="2"/>
  <c r="C3" i="2"/>
  <c r="B7" i="1"/>
  <c r="B7" i="2"/>
  <c r="T37" i="11"/>
  <c r="T34" i="11"/>
  <c r="T31" i="11"/>
  <c r="T28" i="11"/>
  <c r="H26" i="11"/>
  <c r="T24" i="11"/>
  <c r="B24" i="11"/>
  <c r="T21" i="11"/>
  <c r="B21" i="11"/>
  <c r="T18" i="11"/>
  <c r="B18" i="11"/>
  <c r="T15" i="11"/>
  <c r="B15" i="11"/>
  <c r="T12" i="11"/>
  <c r="B12" i="11"/>
  <c r="T9" i="11"/>
  <c r="B9" i="11"/>
  <c r="H7" i="11"/>
  <c r="I1" i="11"/>
  <c r="C1" i="11"/>
  <c r="B1" i="11"/>
  <c r="A1" i="11"/>
  <c r="E19" i="7"/>
  <c r="C260" i="2"/>
  <c r="C257" i="2"/>
  <c r="C254" i="2"/>
  <c r="C251" i="2"/>
  <c r="B249" i="2"/>
  <c r="H249" i="2"/>
  <c r="H245" i="2"/>
  <c r="T260" i="2"/>
  <c r="T257" i="2"/>
  <c r="T254" i="2"/>
  <c r="T251" i="2"/>
  <c r="C247" i="2"/>
  <c r="B245" i="2"/>
  <c r="B247" i="2"/>
  <c r="T247" i="2"/>
  <c r="C243" i="2"/>
  <c r="C240" i="2"/>
  <c r="C237" i="2"/>
  <c r="C234" i="2"/>
  <c r="B232" i="2"/>
  <c r="H232" i="2"/>
  <c r="B243" i="2"/>
  <c r="B240" i="2"/>
  <c r="B237" i="2"/>
  <c r="B234" i="2"/>
  <c r="T243" i="2"/>
  <c r="T240" i="2"/>
  <c r="T237" i="2"/>
  <c r="T234" i="2"/>
  <c r="C230" i="2"/>
  <c r="C227" i="2"/>
  <c r="C224" i="2"/>
  <c r="C221" i="2"/>
  <c r="C218" i="2"/>
  <c r="C215" i="2"/>
  <c r="C212" i="2"/>
  <c r="H210" i="2"/>
  <c r="B210" i="2"/>
  <c r="B230" i="2"/>
  <c r="B227" i="2"/>
  <c r="B224" i="2"/>
  <c r="B221" i="2"/>
  <c r="B218" i="2"/>
  <c r="B215" i="2"/>
  <c r="B212" i="2"/>
  <c r="T230" i="2"/>
  <c r="T227" i="2"/>
  <c r="T224" i="2"/>
  <c r="T221" i="2"/>
  <c r="T218" i="2"/>
  <c r="T215" i="2"/>
  <c r="T212" i="2"/>
  <c r="B208" i="2"/>
  <c r="B205" i="2"/>
  <c r="B202" i="2"/>
  <c r="B199" i="2"/>
  <c r="B196" i="2"/>
  <c r="B193" i="2"/>
  <c r="C208" i="2"/>
  <c r="C205" i="2"/>
  <c r="C202" i="2"/>
  <c r="C199" i="2"/>
  <c r="C196" i="2"/>
  <c r="C193" i="2"/>
  <c r="H191" i="2"/>
  <c r="B191" i="2"/>
  <c r="T208" i="2"/>
  <c r="T205" i="2"/>
  <c r="T202" i="2"/>
  <c r="T199" i="2"/>
  <c r="T196" i="2"/>
  <c r="T193" i="2"/>
  <c r="S4" i="1"/>
  <c r="B41" i="1"/>
  <c r="B40" i="1"/>
  <c r="B39" i="1"/>
  <c r="B36" i="1"/>
  <c r="B35" i="1"/>
  <c r="R33" i="1"/>
  <c r="M33" i="1"/>
  <c r="G33" i="1"/>
  <c r="B33" i="1"/>
  <c r="A32" i="1"/>
  <c r="A26" i="1"/>
  <c r="B29" i="1"/>
  <c r="B28" i="1"/>
  <c r="B27" i="1"/>
  <c r="M22" i="1"/>
  <c r="B22" i="1"/>
  <c r="M19" i="1"/>
  <c r="B19" i="1"/>
  <c r="M16" i="1"/>
  <c r="B16" i="1"/>
  <c r="M13" i="1"/>
  <c r="B13" i="1"/>
  <c r="B10" i="1"/>
  <c r="M7" i="1"/>
  <c r="H175" i="2"/>
  <c r="H129" i="2"/>
  <c r="H92" i="2"/>
  <c r="H79" i="2"/>
  <c r="H66" i="2"/>
  <c r="H62" i="2"/>
  <c r="H49" i="2"/>
  <c r="H33" i="2"/>
  <c r="H26" i="2"/>
  <c r="B189" i="2"/>
  <c r="B186" i="2"/>
  <c r="B183" i="2"/>
  <c r="B180" i="2"/>
  <c r="B177" i="2"/>
  <c r="C189" i="2"/>
  <c r="C186" i="2"/>
  <c r="C183" i="2"/>
  <c r="C180" i="2"/>
  <c r="C177" i="2"/>
  <c r="B175" i="2"/>
  <c r="T189" i="2"/>
  <c r="T186" i="2"/>
  <c r="T183" i="2"/>
  <c r="T180" i="2"/>
  <c r="T177" i="2"/>
  <c r="C173" i="2"/>
  <c r="C170" i="2"/>
  <c r="C167" i="2"/>
  <c r="C164" i="2"/>
  <c r="C161" i="2"/>
  <c r="C158" i="2"/>
  <c r="C155" i="2"/>
  <c r="C152" i="2"/>
  <c r="C149" i="2"/>
  <c r="C146" i="2"/>
  <c r="C143" i="2"/>
  <c r="C140" i="2"/>
  <c r="C137" i="2"/>
  <c r="C134" i="2"/>
  <c r="C131" i="2"/>
  <c r="B129" i="2"/>
  <c r="B173" i="2"/>
  <c r="B167" i="2"/>
  <c r="B164" i="2"/>
  <c r="B170" i="2"/>
  <c r="B161" i="2"/>
  <c r="B158" i="2"/>
  <c r="B155" i="2"/>
  <c r="B152" i="2"/>
  <c r="B149" i="2"/>
  <c r="B146" i="2"/>
  <c r="B143" i="2"/>
  <c r="B140" i="2"/>
  <c r="B137" i="2"/>
  <c r="B134" i="2"/>
  <c r="B131" i="2"/>
  <c r="T173" i="2"/>
  <c r="T170" i="2"/>
  <c r="T167" i="2"/>
  <c r="T164" i="2"/>
  <c r="T161" i="2"/>
  <c r="T158" i="2"/>
  <c r="T155" i="2"/>
  <c r="T152" i="2"/>
  <c r="T149" i="2"/>
  <c r="T146" i="2"/>
  <c r="T143" i="2"/>
  <c r="T140" i="2"/>
  <c r="T137" i="2"/>
  <c r="T134" i="2"/>
  <c r="T131" i="2"/>
  <c r="B124" i="2"/>
  <c r="B121" i="2"/>
  <c r="B118" i="2"/>
  <c r="B115" i="2"/>
  <c r="B112" i="2"/>
  <c r="B109" i="2"/>
  <c r="B106" i="2"/>
  <c r="B103" i="2"/>
  <c r="B100" i="2"/>
  <c r="B97" i="2"/>
  <c r="B94" i="2"/>
  <c r="C124" i="2"/>
  <c r="C121" i="2"/>
  <c r="C118" i="2"/>
  <c r="C115" i="2"/>
  <c r="C112" i="2"/>
  <c r="C109" i="2"/>
  <c r="C106" i="2"/>
  <c r="C103" i="2"/>
  <c r="C100" i="2"/>
  <c r="C97" i="2"/>
  <c r="C94" i="2"/>
  <c r="B92" i="2"/>
  <c r="T124" i="2"/>
  <c r="T121" i="2"/>
  <c r="T118" i="2"/>
  <c r="T115" i="2"/>
  <c r="T112" i="2"/>
  <c r="T109" i="2"/>
  <c r="T106" i="2"/>
  <c r="T103" i="2"/>
  <c r="T100" i="2"/>
  <c r="T97" i="2"/>
  <c r="T94" i="2"/>
  <c r="C90" i="2"/>
  <c r="C87" i="2"/>
  <c r="C84" i="2"/>
  <c r="C81" i="2"/>
  <c r="B79" i="2"/>
  <c r="C77" i="2"/>
  <c r="C74" i="2"/>
  <c r="C71" i="2"/>
  <c r="C68" i="2"/>
  <c r="B66" i="2"/>
  <c r="C64" i="2"/>
  <c r="B62" i="2"/>
  <c r="C60" i="2"/>
  <c r="C57" i="2"/>
  <c r="C54" i="2"/>
  <c r="C51" i="2"/>
  <c r="B49" i="2"/>
  <c r="C47" i="2"/>
  <c r="C44" i="2"/>
  <c r="C41" i="2"/>
  <c r="C38" i="2"/>
  <c r="C35" i="2"/>
  <c r="B33" i="2"/>
  <c r="C31" i="2"/>
  <c r="C28" i="2"/>
  <c r="B26" i="2"/>
  <c r="C24" i="2"/>
  <c r="C21" i="2"/>
  <c r="C18" i="2"/>
  <c r="C15" i="2"/>
  <c r="C12" i="2"/>
  <c r="C9" i="2"/>
  <c r="C5" i="10"/>
  <c r="A2" i="1"/>
  <c r="B9" i="2"/>
  <c r="B12" i="2"/>
  <c r="B15" i="2"/>
  <c r="B18" i="2"/>
  <c r="B21" i="2"/>
  <c r="B24" i="2"/>
  <c r="B28" i="2"/>
  <c r="B31" i="2"/>
  <c r="B35" i="2"/>
  <c r="B38" i="2"/>
  <c r="B41" i="2"/>
  <c r="B44" i="2"/>
  <c r="B47" i="2"/>
  <c r="B51" i="2"/>
  <c r="B54" i="2"/>
  <c r="B57" i="2"/>
  <c r="B60" i="2"/>
  <c r="B64" i="2"/>
  <c r="B68" i="2"/>
  <c r="B71" i="2"/>
  <c r="B74" i="2"/>
  <c r="B77" i="2"/>
  <c r="B81" i="2"/>
  <c r="B84" i="2"/>
  <c r="B87" i="2"/>
  <c r="B90" i="2"/>
  <c r="B1" i="2"/>
  <c r="V22" i="7"/>
  <c r="T77" i="2"/>
  <c r="T47" i="2"/>
  <c r="T90" i="2"/>
  <c r="T87" i="2"/>
  <c r="T84" i="2"/>
  <c r="T81" i="2"/>
  <c r="I1" i="2"/>
  <c r="T60" i="2"/>
  <c r="T57" i="2"/>
  <c r="T54" i="2"/>
  <c r="T51" i="2"/>
  <c r="T44" i="2"/>
  <c r="A2" i="7"/>
  <c r="A3" i="7"/>
  <c r="A4" i="7"/>
  <c r="B14" i="7"/>
  <c r="L16" i="7" s="1"/>
  <c r="S28" i="7"/>
  <c r="T28" i="7"/>
  <c r="A1" i="2"/>
  <c r="C1" i="2"/>
  <c r="T9" i="2"/>
  <c r="T12" i="2"/>
  <c r="T15" i="2"/>
  <c r="T18" i="2"/>
  <c r="T21" i="2"/>
  <c r="T24" i="2"/>
  <c r="T28" i="2"/>
  <c r="T31" i="2"/>
  <c r="T35" i="2"/>
  <c r="T38" i="2"/>
  <c r="T41" i="2"/>
  <c r="T64" i="2"/>
  <c r="T68" i="2"/>
  <c r="T71" i="2"/>
  <c r="T74" i="2"/>
  <c r="B2" i="1"/>
  <c r="C2" i="1"/>
  <c r="D2" i="1"/>
  <c r="E2" i="1"/>
  <c r="F2" i="1"/>
  <c r="G2" i="1"/>
  <c r="H2" i="1"/>
  <c r="I2" i="1"/>
  <c r="J2" i="1"/>
  <c r="K2" i="1"/>
  <c r="L2" i="1"/>
  <c r="M2" i="1"/>
  <c r="N2" i="1"/>
  <c r="V21" i="7"/>
  <c r="V23" i="7"/>
  <c r="G23" i="7"/>
  <c r="G20" i="7"/>
  <c r="V20" i="7"/>
  <c r="A70" i="1"/>
  <c r="B76" i="1" s="1"/>
  <c r="A71" i="1"/>
  <c r="B77" i="1" s="1"/>
  <c r="A72" i="1"/>
  <c r="B78" i="1" s="1"/>
  <c r="E20" i="7"/>
  <c r="L19" i="7" l="1"/>
  <c r="C14" i="7"/>
  <c r="E18" i="7"/>
  <c r="E23" i="7"/>
  <c r="L23" i="7" s="1"/>
  <c r="O28" i="7" s="1"/>
  <c r="F18" i="7"/>
  <c r="V18" i="7"/>
  <c r="Q75" i="1"/>
  <c r="L18" i="7" l="1"/>
  <c r="F20" i="7"/>
  <c r="P28" i="7"/>
  <c r="V19" i="7" l="1"/>
  <c r="L20" i="7"/>
  <c r="N28" i="7" l="1"/>
  <c r="B33" i="7" s="1"/>
  <c r="L50" i="1"/>
  <c r="R28" i="7"/>
  <c r="O50" i="1" s="1"/>
  <c r="U52" i="1" l="1"/>
  <c r="W52" i="1"/>
  <c r="U51" i="1"/>
  <c r="W51" i="1"/>
  <c r="W50" i="1"/>
  <c r="U50" i="1"/>
</calcChain>
</file>

<file path=xl/sharedStrings.xml><?xml version="1.0" encoding="utf-8"?>
<sst xmlns="http://schemas.openxmlformats.org/spreadsheetml/2006/main" count="1306" uniqueCount="1107">
  <si>
    <t>Are the following issues defined for all  the tests? Measurement technology, Sampling frequency, Acceptance criteria, Reaction plans, if acceptance criteria are not fulfilled.</t>
  </si>
  <si>
    <t>Sind die folgenden Aspekte für alle Prüfungen definiert? Messtechnik, Stichprobenhäufigkeit, Akzeptanzkriterien, Reaktionspläne bei Nichterfüllung der Akzeptanzkriterien.</t>
  </si>
  <si>
    <t>13.</t>
  </si>
  <si>
    <t>Assessment</t>
  </si>
  <si>
    <t>Bewertung</t>
  </si>
  <si>
    <t xml:space="preserve"> 90% - 100%, = A-Classifikation</t>
  </si>
  <si>
    <t>&lt; 90% - 60%, = B-Classifikation</t>
  </si>
  <si>
    <t>&lt; 60% , = C-Classifikation</t>
  </si>
  <si>
    <t xml:space="preserve"> 90% - 100%, = A-Einstufung</t>
  </si>
  <si>
    <t>&lt;90% - 60%, = B-Einstufung</t>
  </si>
  <si>
    <t>&lt;60% , = C-Einstufung</t>
  </si>
  <si>
    <t>Result:</t>
  </si>
  <si>
    <t>Area</t>
  </si>
  <si>
    <t>Bereich</t>
  </si>
  <si>
    <t>Qualität</t>
  </si>
  <si>
    <t>Zertifizierung des Qualitäts-, Umweltmanagements und Arbeitssicherheit</t>
  </si>
  <si>
    <t>Quality and Environmental Management and Safty Certification</t>
  </si>
  <si>
    <t>Zertifikate</t>
  </si>
  <si>
    <t>Detailliertes Problemlösungsverfahren  ‎&amp; tools (3x5 Why, Ishikawa-Diagramm usw.)</t>
  </si>
  <si>
    <t xml:space="preserve">festgestellte Abweichung </t>
  </si>
  <si>
    <t>non conformity</t>
  </si>
  <si>
    <t>non conformity / Comment</t>
  </si>
  <si>
    <t>Feststellung / Bemerkung</t>
  </si>
  <si>
    <t>Fecha:</t>
  </si>
  <si>
    <t>Proveedor:</t>
  </si>
  <si>
    <t>Resumen:</t>
  </si>
  <si>
    <t>Definición:</t>
  </si>
  <si>
    <t>Requisito no satisfecho</t>
  </si>
  <si>
    <t>Requisito parcialmente satisfecho</t>
  </si>
  <si>
    <t>Requisito satisfecho</t>
  </si>
  <si>
    <t>No aplicable</t>
  </si>
  <si>
    <t>Desvío establecido</t>
  </si>
  <si>
    <t>Sin autorización</t>
  </si>
  <si>
    <t xml:space="preserve"> 90% - 100%,  autorización para provisión de serie, "´Clasificación A"</t>
  </si>
  <si>
    <t xml:space="preserve">&lt; 90% - 60%, necesarias acciones correctivas, "Clasificación B" </t>
  </si>
  <si>
    <t>&lt; 60% , no autorizado "Clasificación C"</t>
  </si>
  <si>
    <t>Acciones correctivas</t>
  </si>
  <si>
    <t>Participante para verificar la acción correctiva:</t>
  </si>
  <si>
    <t>No conformidad (descubrimiento)</t>
  </si>
  <si>
    <t>Causa raíz</t>
  </si>
  <si>
    <t>Acción correctiva</t>
  </si>
  <si>
    <t>Responsabilidad</t>
  </si>
  <si>
    <t>Fecha de ejecución</t>
  </si>
  <si>
    <t>Nivel de performance (eficacia) de las acciones correctivas</t>
  </si>
  <si>
    <t>Desviación</t>
  </si>
  <si>
    <t>Procesado (verde)</t>
  </si>
  <si>
    <t>Comenzado (amarillo)</t>
  </si>
  <si>
    <t>Plazo excedido  (rojo)</t>
  </si>
  <si>
    <r>
      <t xml:space="preserve">Nivel de </t>
    </r>
    <r>
      <rPr>
        <i/>
        <sz val="10"/>
        <rFont val="Arial"/>
        <family val="2"/>
      </rPr>
      <t>performance</t>
    </r>
  </si>
  <si>
    <t>Elementos</t>
  </si>
  <si>
    <t>no conformidad</t>
  </si>
  <si>
    <t>Comentarios</t>
  </si>
  <si>
    <t>Calibrado</t>
  </si>
  <si>
    <t>Disponible</t>
  </si>
  <si>
    <t>Descripción</t>
  </si>
  <si>
    <t>Equipo de medición</t>
  </si>
  <si>
    <t>Medición digital de la altura</t>
  </si>
  <si>
    <t>Proyector de perfiles</t>
  </si>
  <si>
    <t xml:space="preserve">Equipo de medición 2D </t>
  </si>
  <si>
    <t>Equipo de medición 3D</t>
  </si>
  <si>
    <t>Auditeur:</t>
  </si>
  <si>
    <t>Fournisseur:</t>
  </si>
  <si>
    <t>Non-conformité</t>
  </si>
  <si>
    <t>Trusquin</t>
  </si>
  <si>
    <t>Projecteur de profil</t>
  </si>
  <si>
    <t>Machine 2D</t>
  </si>
  <si>
    <t>Machine tridimensionnelle</t>
  </si>
  <si>
    <t>Commentaires</t>
  </si>
  <si>
    <t>Etalonnage</t>
  </si>
  <si>
    <t>Equipement de mesure</t>
  </si>
  <si>
    <t>Résumé:</t>
  </si>
  <si>
    <t>Définition:</t>
  </si>
  <si>
    <t>Exigence non satisfaite</t>
  </si>
  <si>
    <t>Exigence partiellement satisfaite</t>
  </si>
  <si>
    <t>Exigence satisfaite</t>
  </si>
  <si>
    <t>Non applicable</t>
  </si>
  <si>
    <t>Déviation établie</t>
  </si>
  <si>
    <t>Pas d'approbation</t>
  </si>
  <si>
    <t>90% - 100%, approbation pour livraison série, "Classe-A"</t>
  </si>
  <si>
    <t>&lt; 90% - 60%, actions correctives nécessaires, "Classe-B"</t>
  </si>
  <si>
    <t>&lt;60%, pas d'approbation,"Classe-C"</t>
  </si>
  <si>
    <t>Actions correctives (pilote, action et délai)</t>
  </si>
  <si>
    <t>Participant pour vérifier les actions correctives:</t>
  </si>
  <si>
    <t>non-conformité</t>
  </si>
  <si>
    <t>cause racine</t>
  </si>
  <si>
    <t>Action correctives</t>
  </si>
  <si>
    <t>Responsable</t>
  </si>
  <si>
    <t>Date de réalisation</t>
  </si>
  <si>
    <t>Statuts</t>
  </si>
  <si>
    <t>Niveau de performance des action corrective</t>
  </si>
  <si>
    <t xml:space="preserve">Déviation </t>
  </si>
  <si>
    <t>Traité (vert)</t>
  </si>
  <si>
    <t>Démarré (Jaune)</t>
  </si>
  <si>
    <t>Non respect du délai (Rouge)</t>
  </si>
  <si>
    <t>Degré de performance</t>
  </si>
  <si>
    <t>Elément</t>
  </si>
  <si>
    <t>Certificate</t>
  </si>
  <si>
    <t>7.</t>
  </si>
  <si>
    <t>Date:</t>
  </si>
  <si>
    <t>Supplier:</t>
  </si>
  <si>
    <t>Elements</t>
  </si>
  <si>
    <t>Summary:</t>
  </si>
  <si>
    <t>Requirement not satisfy</t>
  </si>
  <si>
    <t>Requirement partial satisfy</t>
  </si>
  <si>
    <t>Requirement satisfy</t>
  </si>
  <si>
    <t>Not applicable</t>
  </si>
  <si>
    <t>No approval</t>
  </si>
  <si>
    <t xml:space="preserve">Deviation established </t>
  </si>
  <si>
    <t>Root Cause</t>
  </si>
  <si>
    <t>Corrective Action</t>
  </si>
  <si>
    <t>Responsible</t>
  </si>
  <si>
    <t>Execution Date</t>
  </si>
  <si>
    <t>Corrective actions</t>
  </si>
  <si>
    <t>Deviation</t>
  </si>
  <si>
    <t>Degree of performance corrective actions</t>
  </si>
  <si>
    <t>Degree of performance</t>
  </si>
  <si>
    <t>processed (Green)</t>
  </si>
  <si>
    <t>start off (Yellow)</t>
  </si>
  <si>
    <t>missed deadline (Red)</t>
  </si>
  <si>
    <t>English</t>
  </si>
  <si>
    <t>Deutsch</t>
  </si>
  <si>
    <t>Italiano</t>
  </si>
  <si>
    <t>Portugues</t>
  </si>
  <si>
    <t>Sprache</t>
  </si>
  <si>
    <t>Lieferant:</t>
  </si>
  <si>
    <t>Telefon:</t>
  </si>
  <si>
    <t>Zelle</t>
  </si>
  <si>
    <t>Frage</t>
  </si>
  <si>
    <t xml:space="preserve">14. </t>
  </si>
  <si>
    <t>Anforderung nicht erfüllt</t>
  </si>
  <si>
    <t>Anforderung teilweise erfüllt</t>
  </si>
  <si>
    <t>Anforderung erfüllt</t>
  </si>
  <si>
    <t>nicht anwendbar</t>
  </si>
  <si>
    <t>Abweichung festgestellt</t>
  </si>
  <si>
    <t>Keine Freigabe</t>
  </si>
  <si>
    <t>Abweichungen, Ursache und Maßnahmen</t>
  </si>
  <si>
    <t>Teilnehmer bei Maßnahmenüberprüfung:</t>
  </si>
  <si>
    <t>Participant to check corrective action:</t>
  </si>
  <si>
    <t>Ursache</t>
  </si>
  <si>
    <t>Maßnahmen</t>
  </si>
  <si>
    <t>Verantwortung</t>
  </si>
  <si>
    <t>Erledigungsdatum</t>
  </si>
  <si>
    <t>Erfüllungsgrad Maßnahmen</t>
  </si>
  <si>
    <t>Abweichungen</t>
  </si>
  <si>
    <t>Abgearbeitet (Grün)</t>
  </si>
  <si>
    <t>Angefangen (Gelb)</t>
  </si>
  <si>
    <t>Terminüberschreitung (Rot)</t>
  </si>
  <si>
    <t>Erfüllungsrad</t>
  </si>
  <si>
    <t>Gesamt:</t>
  </si>
  <si>
    <t>1.</t>
  </si>
  <si>
    <t>2.</t>
  </si>
  <si>
    <t>3.</t>
  </si>
  <si>
    <t>4.</t>
  </si>
  <si>
    <t>5.</t>
  </si>
  <si>
    <t>6.</t>
  </si>
  <si>
    <t>N/A</t>
  </si>
  <si>
    <t xml:space="preserve"> </t>
  </si>
  <si>
    <t>Auditor:</t>
  </si>
  <si>
    <t>Datum:</t>
  </si>
  <si>
    <t>Summe</t>
  </si>
  <si>
    <t>Element</t>
  </si>
  <si>
    <t>Audit Section</t>
  </si>
  <si>
    <t>Section</t>
  </si>
  <si>
    <t>Actual Score</t>
  </si>
  <si>
    <t>Possible Score</t>
  </si>
  <si>
    <t>%</t>
  </si>
  <si>
    <t>Target</t>
  </si>
  <si>
    <t>No. Of Zero's</t>
  </si>
  <si>
    <t>ZERO'S</t>
  </si>
  <si>
    <t>Fax:</t>
  </si>
  <si>
    <t>Status</t>
  </si>
  <si>
    <t>Definition:</t>
  </si>
  <si>
    <t>Elemente</t>
  </si>
  <si>
    <t>294</t>
  </si>
  <si>
    <t>Messeinrichtungen</t>
  </si>
  <si>
    <t>Measurement equipment</t>
  </si>
  <si>
    <t>Bezeichnung</t>
  </si>
  <si>
    <t>293</t>
  </si>
  <si>
    <t>Description</t>
  </si>
  <si>
    <t>Vorhanden</t>
  </si>
  <si>
    <t>Kalibriert</t>
  </si>
  <si>
    <t>Bemerkung</t>
  </si>
  <si>
    <t>Comments</t>
  </si>
  <si>
    <t>Calibrated</t>
  </si>
  <si>
    <t>Existent</t>
  </si>
  <si>
    <t>292</t>
  </si>
  <si>
    <t>291</t>
  </si>
  <si>
    <t>290</t>
  </si>
  <si>
    <t>3D Measurement maschine</t>
  </si>
  <si>
    <t>3D Messmaschine</t>
  </si>
  <si>
    <t>289</t>
  </si>
  <si>
    <t>2D Messgerät</t>
  </si>
  <si>
    <t>2D Measurement equipment</t>
  </si>
  <si>
    <t>Profilprojektor</t>
  </si>
  <si>
    <t>Profile projector</t>
  </si>
  <si>
    <t xml:space="preserve">Digital </t>
  </si>
  <si>
    <t>Digitales Höhenmessgerät (1D)</t>
  </si>
  <si>
    <t>Supplier Self-Assessment</t>
  </si>
  <si>
    <t>Company name (including legal form):</t>
  </si>
  <si>
    <t xml:space="preserve">Form completed by: </t>
  </si>
  <si>
    <t>Facility Address:</t>
  </si>
  <si>
    <t>Department:</t>
  </si>
  <si>
    <t>Post code, City, State:</t>
  </si>
  <si>
    <t>Telephone:</t>
  </si>
  <si>
    <t>Country:</t>
  </si>
  <si>
    <t>Internet (www):</t>
  </si>
  <si>
    <t>DUNS-Number:</t>
  </si>
  <si>
    <t>KB- Supplier-Nr. (if available):</t>
  </si>
  <si>
    <t>Company Name:</t>
  </si>
  <si>
    <t>Adress:</t>
  </si>
  <si>
    <t>City/State/ZIP/Country:</t>
  </si>
  <si>
    <t>Contacts</t>
  </si>
  <si>
    <t>Position</t>
  </si>
  <si>
    <t>Name</t>
  </si>
  <si>
    <t>Direct Telephone number</t>
  </si>
  <si>
    <t>E-Mail</t>
  </si>
  <si>
    <t>Managing Director / Chief Executive Officer</t>
  </si>
  <si>
    <t>Sales Manager</t>
  </si>
  <si>
    <t xml:space="preserve">Plant Manager Quality </t>
  </si>
  <si>
    <t xml:space="preserve">Plant Manager Environmental </t>
  </si>
  <si>
    <t xml:space="preserve">Safety – responsible </t>
  </si>
  <si>
    <t>Company Turnover/Investments (Last 4 Years)</t>
  </si>
  <si>
    <t>Company Employees (Last 3 Years)</t>
  </si>
  <si>
    <t>Year</t>
  </si>
  <si>
    <t>Sales (€)</t>
  </si>
  <si>
    <t>Investments (€)</t>
  </si>
  <si>
    <t>Manufacturing</t>
  </si>
  <si>
    <t>Purchasing</t>
  </si>
  <si>
    <t>Quality</t>
  </si>
  <si>
    <t>Engineering</t>
  </si>
  <si>
    <t>Industries Served</t>
  </si>
  <si>
    <t>Major Customers</t>
  </si>
  <si>
    <t>Rail:</t>
  </si>
  <si>
    <t>Aerospace:</t>
  </si>
  <si>
    <t>Trucking:</t>
  </si>
  <si>
    <t>Automotive:</t>
  </si>
  <si>
    <t>Medicine:</t>
  </si>
  <si>
    <t>Requesting Buyer</t>
  </si>
  <si>
    <t>Commodity/Typ of Component to be Supplied</t>
  </si>
  <si>
    <t>Risk Assurance</t>
  </si>
  <si>
    <t>Current</t>
  </si>
  <si>
    <t>If no, planned at?</t>
  </si>
  <si>
    <t>Amount of Coverage</t>
  </si>
  <si>
    <t>Yes</t>
  </si>
  <si>
    <t>No</t>
  </si>
  <si>
    <t>Product Risk Insurance</t>
  </si>
  <si>
    <t>Recall Risk Insurance</t>
  </si>
  <si>
    <t>Section B, Financials</t>
  </si>
  <si>
    <t>Bank Account(s) - Wire Transfer Mandatory</t>
  </si>
  <si>
    <t>Bank Name and Adress</t>
  </si>
  <si>
    <t>Account No.</t>
  </si>
  <si>
    <t>Routing No.</t>
  </si>
  <si>
    <t>Swift Code</t>
  </si>
  <si>
    <t>IBAN Number</t>
  </si>
  <si>
    <t>Credit References</t>
  </si>
  <si>
    <t>Reference Name</t>
  </si>
  <si>
    <t>Type (Bank/Supplier)</t>
  </si>
  <si>
    <t>Contact Name</t>
  </si>
  <si>
    <t>Contact Phone No.</t>
  </si>
  <si>
    <t>Section C, Quality</t>
  </si>
  <si>
    <t>Please mark with a cross and enclose a copy of the facility certificates.</t>
  </si>
  <si>
    <t>Certification / expiry dates</t>
  </si>
  <si>
    <t>Certification-Organization</t>
  </si>
  <si>
    <t>Customer Approvals / Audits of Facility</t>
  </si>
  <si>
    <t>Customer name</t>
  </si>
  <si>
    <t>Result</t>
  </si>
  <si>
    <t>Application of Quality Management – Methods:</t>
  </si>
  <si>
    <t>Methods</t>
  </si>
  <si>
    <t>Generally used</t>
  </si>
  <si>
    <t>Partially used</t>
  </si>
  <si>
    <t>Not yet in use</t>
  </si>
  <si>
    <t>Detailed Problem Solving Methodology &amp; Tools (3x5 Why, Ishikawa Diagram, etc.)</t>
  </si>
  <si>
    <t xml:space="preserve">Process and Machine capability studies </t>
  </si>
  <si>
    <t>Product approval according  PPAP</t>
  </si>
  <si>
    <t>Product approval according  VDA (PPF)</t>
  </si>
  <si>
    <t xml:space="preserve">Failure Mode and Effects Analysis (FMEA), Design and Process
</t>
  </si>
  <si>
    <t>Six Sigma</t>
  </si>
  <si>
    <t>5S</t>
  </si>
  <si>
    <t>Section D Quality System Assessment</t>
  </si>
  <si>
    <t>Section A, Company Profil</t>
  </si>
  <si>
    <t>Supplier Self-assessment or KB SQD Assessment?</t>
  </si>
  <si>
    <t>Self Assessment</t>
  </si>
  <si>
    <t>KB SQD Assessment</t>
  </si>
  <si>
    <t>N/A = Not applicable</t>
  </si>
  <si>
    <t>0 = Requirement not satisfy</t>
  </si>
  <si>
    <t xml:space="preserve">1 = Requirement partial satisfy </t>
  </si>
  <si>
    <t xml:space="preserve">2 = Requirement satisfy </t>
  </si>
  <si>
    <t>Quality Management System</t>
  </si>
  <si>
    <t>Do you have a quality management system in accordance with IRIS?</t>
  </si>
  <si>
    <t>Do you have a quality management manual, which describes the quality organization, the roles and responsibilities as well as the essential processes and practices?</t>
  </si>
  <si>
    <t>Can you ensure that technical norms, standards and changes by KB can be evaluated, distributed and realized on time - within 14 days?</t>
  </si>
  <si>
    <t>Do you have a system for the control of documents?</t>
  </si>
  <si>
    <t>Do you preserve/retain documents with particular retention requirements (DmbA) for at least 15 years after production?</t>
  </si>
  <si>
    <t>Do you use the International Material Data System (IMDS)? Are you able to submit online?</t>
  </si>
  <si>
    <t>Management Responsibility</t>
  </si>
  <si>
    <t xml:space="preserve">Do you have measurable quality objectives issued by your top management? </t>
  </si>
  <si>
    <t>Does the top management review the QMS at planned intervals?</t>
  </si>
  <si>
    <t>Human resources</t>
  </si>
  <si>
    <t>Are training records of all personnel maintained?</t>
  </si>
  <si>
    <t>Are the training needs for all personnel analyzed on a regular basis and documented?</t>
  </si>
  <si>
    <t>Is there a training plan for all personnel?</t>
  </si>
  <si>
    <t>Is training reviewed for its effectiveness?</t>
  </si>
  <si>
    <t>Is the awareness and motivation of the personnel assessed on a regular basis with respect to the importance and consequence of their activities on the customer requirements?</t>
  </si>
  <si>
    <t>Infrastructure</t>
  </si>
  <si>
    <t>Do you have emergency plans in order to ensure the satisfaction of customer requirements in the event of an emergency such as interruption of power and energy, labour shortage, loss of production means and field complaints?</t>
  </si>
  <si>
    <t>Are all areas of the company kept neat and orderly?</t>
  </si>
  <si>
    <t>Are all areas free from things which are not directly necessary for the work?</t>
  </si>
  <si>
    <t>Is the production planned to minimize the handling and traffic of material?</t>
  </si>
  <si>
    <t xml:space="preserve">Planning of product realization </t>
  </si>
  <si>
    <t>Can you ensure the confidentiality of customer-contracted products, projects under development and related product information?</t>
  </si>
  <si>
    <t>Do you have a system to manage and to preserve documents provided by the customer?</t>
  </si>
  <si>
    <t>Are customer requirements documented and communicated in the company?</t>
  </si>
  <si>
    <t>Do you have a formal system for the review and acceptance of contracts or orders?</t>
  </si>
  <si>
    <t xml:space="preserve">Are you able to exchange with KB electronic information about, Development-, Contracts-Data, Reports, etc.?
</t>
  </si>
  <si>
    <t>Development</t>
  </si>
  <si>
    <t>Do you have sufficient qualified and competent resources for development?</t>
  </si>
  <si>
    <t>Do you determine for each development project goals for product quality, lifetime, reliability, durability, servicing, timing and costs and are these controlled?</t>
  </si>
  <si>
    <t>Do you make a review of the design results in the different development stages, before the results are processed and advised to the customer?</t>
  </si>
  <si>
    <t>Do you have a robust process for the management of changes by the customer and for changes initiated by yourself?</t>
  </si>
  <si>
    <t>Are your suppliers evaluated on a regular basis on their quality performance?</t>
  </si>
  <si>
    <t>Are there defined criteria for supplier evaluation?</t>
  </si>
  <si>
    <t>Do you have a list of approved suppliers?</t>
  </si>
  <si>
    <t>Are purchased products checked at incoming – inspection area or at their assembly to Zero Defect (ZD) and will records of these checks be kept for at least 5 years (15 years for special records) after production?</t>
  </si>
  <si>
    <t>Are warehouses supervised and organized?</t>
  </si>
  <si>
    <t>Do you have defined process to identify raw materials and to know their application?</t>
  </si>
  <si>
    <t>Is raw material stored and processed in order to avoid a negative influence of the environment?</t>
  </si>
  <si>
    <t>Is material with limited shelf life identified and monitored?</t>
  </si>
  <si>
    <t>Are materials quarantined until they are tested?</t>
  </si>
  <si>
    <t>Are there procedures for the segregation, identification and disposal of rejected materials?</t>
  </si>
  <si>
    <t>Are urgent measures, correction and improvement activities implemented by your subcontractors within agreed timescales?</t>
  </si>
  <si>
    <t>Production and service provision</t>
  </si>
  <si>
    <t>Are there documented work instructions for the production?</t>
  </si>
  <si>
    <t>Is process data collected and recorded?</t>
  </si>
  <si>
    <t>Is there a formal process for `In - process` control?</t>
  </si>
  <si>
    <t>Are `In-process` controls done by the production operators?</t>
  </si>
  <si>
    <t>Are there records of all controls and are they retained?</t>
  </si>
  <si>
    <t>Is data of charge / batch / lot collected and recorded?</t>
  </si>
  <si>
    <t>Can you maintain traceability of production lots / charge on the entire production process including supplied product?</t>
  </si>
  <si>
    <t>Are products between processes identified and controlled?</t>
  </si>
  <si>
    <t>Are test - materials identified and controlled?</t>
  </si>
  <si>
    <t>Is the packaging and labeling of shipments checked and monitored?</t>
  </si>
  <si>
    <t>Can you segregate and identify your materials and products by part number, charge and customers?</t>
  </si>
  <si>
    <t>Is there a system for the preventive maintenance of key process equipment, machinery, tooling, gauging &amp; instruments?</t>
  </si>
  <si>
    <t>Is the service and maintenance accomplished according to a planned schedule?</t>
  </si>
  <si>
    <t>Are responsibilities for service and maintenance defined?</t>
  </si>
  <si>
    <t xml:space="preserve">Do you consider the entire life cycle of means of production?  </t>
  </si>
  <si>
    <t>Control of monitoring and measuring devices</t>
  </si>
  <si>
    <t>Is there a process for the selection, use, application and inspection of instruments and equipment used for inspection, testing and monitoring?</t>
  </si>
  <si>
    <t>Is the inspection and measuring equipment (used for the monitoring of product and process) calibrated on a regular basis?</t>
  </si>
  <si>
    <t>Are records of calibration maintained?</t>
  </si>
  <si>
    <t>Is the measuring and test equipment calibrated under controlled conditions?</t>
  </si>
  <si>
    <t>Is the capability of measuring &amp; test equipment evaluated?</t>
  </si>
  <si>
    <t>Measurement, analysis and improvement</t>
  </si>
  <si>
    <t>Are different statistical methods know and utilized throughout the organization?</t>
  </si>
  <si>
    <t xml:space="preserve">Are statistical Process Control (SPC) used? </t>
  </si>
  <si>
    <t>Are implemented corrective and improvement measures derived from statistical analysis of data and effectiveness examined?</t>
  </si>
  <si>
    <t xml:space="preserve">Are methods concerning error-prevention used in the corrective action process? </t>
  </si>
  <si>
    <t>Do you conduct capability studies?</t>
  </si>
  <si>
    <t>Can you calculate the following capabilities: pp / ppk / cp / cpk?</t>
  </si>
  <si>
    <t>Monitoring and measurement</t>
  </si>
  <si>
    <t>Do you conduct internal quality audits on a regular basis – at least annually – in each functional area and for each process?</t>
  </si>
  <si>
    <t>Do you conduct product - and process audits on a regular basis by qualified Auditors?</t>
  </si>
  <si>
    <t>Is there an audit plan and is it followed?</t>
  </si>
  <si>
    <t>Are audit results documented and communicated to the responsible persons?</t>
  </si>
  <si>
    <t>Are all the products requalified with complete measurement and functional tests and are the results recorded?</t>
  </si>
  <si>
    <t>Are corrective measures implemented within 30 days and is their effectiveness evaluated?</t>
  </si>
  <si>
    <t>Control of nonconforming product</t>
  </si>
  <si>
    <t>Is it ensured that non-conforming product is identified &amp; controlled to prevent delivery to the customer?</t>
  </si>
  <si>
    <t>Is it ensured that non-conforming product is not delivered to the customer without customer authorization?</t>
  </si>
  <si>
    <t>Is there a system for handling of customer complaints?</t>
  </si>
  <si>
    <t>Is there an active “Feedback- System” regarding corrective and improvement activities – i.e.  8-D Reports?</t>
  </si>
  <si>
    <t>Analysis of data</t>
  </si>
  <si>
    <t>Is data analyzed on a regular basis to compare trends in quality and performance with the business goals?</t>
  </si>
  <si>
    <t>Improvement</t>
  </si>
  <si>
    <t>Does the organisation continually strive to improve with respect to quality, costs and effectiveness?</t>
  </si>
  <si>
    <t>Are such activities accomplished in all areas of the company?</t>
  </si>
  <si>
    <t>Are improvement measures documented and are responsible persons named?</t>
  </si>
  <si>
    <t>Is there a plan for the prompt introduction of changes to the product?</t>
  </si>
  <si>
    <t>Are structured problem solving methods used?</t>
  </si>
  <si>
    <t>Information about environmental management in the company</t>
  </si>
  <si>
    <t>Is compliance with environmental laws systematically determined, comprehensibly evaluated and documented?</t>
  </si>
  <si>
    <t>Environmental-relevant processes, environmental consequences</t>
  </si>
  <si>
    <t>Is the impact on the environment of the products and production processes determined and documented systematically?</t>
  </si>
  <si>
    <t>Are workers informed and trained regularly about environmental protection?</t>
  </si>
  <si>
    <t>Section F Global Compact Principle</t>
  </si>
  <si>
    <t>RESPONSIBLE BEHAVIOUR OF THE COMPANY</t>
  </si>
  <si>
    <t>Do you confirm complying with the UN Global Compact’s ten principles on human rights, labour, environment and anti-corruption?</t>
  </si>
  <si>
    <t>Is there a process to ensure adequate steps are taken against all forms of discrimination both in the workplace and at the time of recruitment?</t>
  </si>
  <si>
    <t>Information about Global Compact Principle</t>
  </si>
  <si>
    <t>Is there a process to ensure adequate steps are taken against all forms of forced and compulsory labour as well as child labour?</t>
  </si>
  <si>
    <t>Does your company have arrangements for health and safety that provide sufficient protection for your employees?</t>
  </si>
  <si>
    <t>Does your company support the development and diffusion of environmental friendly products and technologies?</t>
  </si>
  <si>
    <t>Does your company have specific mechanism in place to ensure effective implementation of fair business practice and ethical behaviour (e.g. compliance, anti-corruption, conflicts of interests)</t>
  </si>
  <si>
    <t xml:space="preserve">Have you developed sustainability purchasing guidelines for your suppliers, including, but not limited to, environmental compliance, ethical practices and labour conditions? </t>
  </si>
  <si>
    <t>Abschnitt A Allgemeine Angaben zum Unternehmen</t>
  </si>
  <si>
    <t xml:space="preserve">Formular ausgefüllt von: </t>
  </si>
  <si>
    <t>Lieferantenname (einschließlich Rechtsform):</t>
  </si>
  <si>
    <t>Lieferantenselbstauskunft</t>
  </si>
  <si>
    <t>Anschrift des Standorts:</t>
  </si>
  <si>
    <t>Postleitzahl, Ort:</t>
  </si>
  <si>
    <t>Abteilung:</t>
  </si>
  <si>
    <t>Land:</t>
  </si>
  <si>
    <t>Internet: (www):</t>
  </si>
  <si>
    <t>E-Mail:</t>
  </si>
  <si>
    <t>DUNS-Nummer:</t>
  </si>
  <si>
    <t>KB-Lieferanten-Nr. (falls vorhanden):</t>
  </si>
  <si>
    <t>Name des Unternehmens:</t>
  </si>
  <si>
    <t>Adresse:</t>
  </si>
  <si>
    <t>PLZ/Ort/Land</t>
  </si>
  <si>
    <t>Ansprechpartner</t>
  </si>
  <si>
    <t>Telefonnummer mit Durchwahl</t>
  </si>
  <si>
    <t>Geschäftsführer / Chief Executive Officer</t>
  </si>
  <si>
    <t>Leiter Verkauf</t>
  </si>
  <si>
    <t>Plant Manager Logistics</t>
  </si>
  <si>
    <t>Plant Manager Production</t>
  </si>
  <si>
    <t>Leiter Werkslogistik</t>
  </si>
  <si>
    <t>Leiter Produktion</t>
  </si>
  <si>
    <t>Leiter Qualitätssicherung</t>
  </si>
  <si>
    <t>Leiter Umweltmanagement</t>
  </si>
  <si>
    <t xml:space="preserve">Sicherheitsbeauftragter </t>
  </si>
  <si>
    <t>Umsatz/Investitionen (der letzten 4 Jahre)</t>
  </si>
  <si>
    <t>Anzahl Mitarbeiter (der letzten 3 Jahre)</t>
  </si>
  <si>
    <t>Jahr</t>
  </si>
  <si>
    <t>Umsatz (€)</t>
  </si>
  <si>
    <t>Investitionen (€)</t>
  </si>
  <si>
    <t>Produktion</t>
  </si>
  <si>
    <t>Einkauf</t>
  </si>
  <si>
    <t>Entwicklung</t>
  </si>
  <si>
    <t>Abnehmerbranchen</t>
  </si>
  <si>
    <t>Größte Kunden</t>
  </si>
  <si>
    <t>Schienenverkehr:</t>
  </si>
  <si>
    <t>Luftfahrt:</t>
  </si>
  <si>
    <t>Lkw-Industrie:</t>
  </si>
  <si>
    <t>Automobilindustrie:</t>
  </si>
  <si>
    <t>Medizin:</t>
  </si>
  <si>
    <t>% vom Umsatz</t>
  </si>
  <si>
    <t>% of Sales</t>
  </si>
  <si>
    <t>Anfragender Einkäufer</t>
  </si>
  <si>
    <t>Zu liefernde Waren-/Bauteilart</t>
  </si>
  <si>
    <t>Risikoabsicherung</t>
  </si>
  <si>
    <t>Falls nein, geplant ab</t>
  </si>
  <si>
    <t>Deckungssumme</t>
  </si>
  <si>
    <t>Ja</t>
  </si>
  <si>
    <t>Nein</t>
  </si>
  <si>
    <t>Produktrisiko-Versicherung</t>
  </si>
  <si>
    <t>Rückrufrisiko-Versicherung</t>
  </si>
  <si>
    <t>Abschnitt B Bankverbindung und Kreditauskunft</t>
  </si>
  <si>
    <t xml:space="preserve">Bankverbindung(en) – Überweisung zwingend erforderlich </t>
  </si>
  <si>
    <t>Name und Adresse der Bank</t>
  </si>
  <si>
    <t>Konto-Nr.</t>
  </si>
  <si>
    <t>RTN-Nr.</t>
  </si>
  <si>
    <t>SWIFT-Code</t>
  </si>
  <si>
    <t>IBAN-Nummer</t>
  </si>
  <si>
    <t>Kreditauskünfte</t>
  </si>
  <si>
    <t>Name der Kreditauskunft</t>
  </si>
  <si>
    <t>Art (Bank/Lieferant)</t>
  </si>
  <si>
    <t>Telefonnummer</t>
  </si>
  <si>
    <t>Abschnitt C: Qualitätssicherung</t>
  </si>
  <si>
    <t>Bitte Zutreffendes ankreuzen und eine Kopie der Standort-Zertifikate beifügen.</t>
  </si>
  <si>
    <t>Zertifizierung / gültig bis</t>
  </si>
  <si>
    <t>IRIS</t>
  </si>
  <si>
    <t>ISO/TS 16949</t>
  </si>
  <si>
    <t>ISO 9001:2008</t>
  </si>
  <si>
    <t>ISO 14001 / EMAS</t>
  </si>
  <si>
    <t>Zertifizierungsgesellschaft</t>
  </si>
  <si>
    <t>HPQ (DB)</t>
  </si>
  <si>
    <t>Kundenzulassungen / Audits am Standort</t>
  </si>
  <si>
    <t>Name des Kunden</t>
  </si>
  <si>
    <t>Audit Typ</t>
  </si>
  <si>
    <t>Auditart</t>
  </si>
  <si>
    <t>Ergebnis</t>
  </si>
  <si>
    <t>Anwendung des Qualitätsmanagementsverfahren:</t>
  </si>
  <si>
    <t>Methoden</t>
  </si>
  <si>
    <t>Vollständig umgesetzt</t>
  </si>
  <si>
    <t>Teilweise umgesetzt</t>
  </si>
  <si>
    <t>Noch nicht umgesetzt</t>
  </si>
  <si>
    <t>Seit (Datum)</t>
  </si>
  <si>
    <t>Used since (date)</t>
  </si>
  <si>
    <t xml:space="preserve">Studien zur Prozess- und Maschinenfähigkeit </t>
  </si>
  <si>
    <t>PPAP-Produktabnahme</t>
  </si>
  <si>
    <t>Produktabnahme nach VDA (PPF)</t>
  </si>
  <si>
    <t xml:space="preserve">Advanced Product Quality Planning (APQP) / VDA </t>
  </si>
  <si>
    <t>Advanced Product Quality Planning (APQP) / VDA</t>
  </si>
  <si>
    <t xml:space="preserve">Fehler-Möglichkeits- und Einfluss-Analyse (FMEA), Design and Prozess
</t>
  </si>
  <si>
    <t>Abschnitt D Bewertung des Qualitätssystems</t>
  </si>
  <si>
    <t>Lieferantenselbstauskunft oder Bewertung durch den SQD von KB SfS?</t>
  </si>
  <si>
    <t>Selbstauskunft</t>
  </si>
  <si>
    <t>KB-SQD-Bewertung</t>
  </si>
  <si>
    <t>Bemerkungen (zu Fragen, die mit &lt; 2 oder N/A beantwortet wurden)</t>
  </si>
  <si>
    <t>Comments (in case of answers „&lt;2 or N/A“)</t>
  </si>
  <si>
    <t>N/A = nicht anwendbar</t>
  </si>
  <si>
    <t>0 = Anforderung nicht erfüllt</t>
  </si>
  <si>
    <t>2 = Anforderung erfüllt</t>
  </si>
  <si>
    <t>Qualitätsmanagementsystem</t>
  </si>
  <si>
    <t>Haben Sie ein Qualitätsmanagementsystem gemäß IRIS eingerichtet?</t>
  </si>
  <si>
    <t>Gibt es ein Qualitätsmanagementhandbuch, in dem die Qualitätsorganisation, die Funktionen und Verantwortlichkeiten und die zentralen Prozesse und Verfahrens-anweisungen beschrieben sind?</t>
  </si>
  <si>
    <t>Können Sie gewährleisten, dass technische Vorgaben, Normen und Veränderungen seitens KB rechtzeitig bewertet, verteilt und umgesetzt werden – innerhalb von 14 Tagen?</t>
  </si>
  <si>
    <t>Heben Sie Dokumente, für die spezielle Aufbewahrungsfristen (DmbA) gelten, für einen Zeitraum von mindestens 15 Jahren nach der Erstellung auf?</t>
  </si>
  <si>
    <t>Verwenden Sie das Internationale Material-Daten-System (IMDS)? Können Sie Daten online verwalten?</t>
  </si>
  <si>
    <t>Managementverantwortung</t>
  </si>
  <si>
    <t xml:space="preserve">Gibt es in Ihrem Unternehmen messbare Qualitätsziele, die von der Geschäftsleitung aufgestellt wurden? </t>
  </si>
  <si>
    <t>Wird das QMS regelmäßig von der Geschäftsleitung überprüft?</t>
  </si>
  <si>
    <t>Personal</t>
  </si>
  <si>
    <t>Wird der Schulungsbedarf aller Mitarbeiter regelmäßig ermittelt  dokumentiert?</t>
  </si>
  <si>
    <t>Liegt ein Schulungsplan für alle Mitarbeiter vor?</t>
  </si>
  <si>
    <t>Wird die Effektivität der Schulungsmaßnahmen überprüft?</t>
  </si>
  <si>
    <t>Werden die Wahrnehmung und Motivation des Personals im Hinblick auf die Bedeutung seines Handelns für und seine Auswirkungen auf die Erfüllung der Kundenanforderungen regelmäßig bewertet?</t>
  </si>
  <si>
    <t>Infrastruktur / Arbeitsumgebung</t>
  </si>
  <si>
    <t>Verfügen Sie über Notfallpläne, um auch in Ausnahmesituationen, z. B. bei Stromausfall  Energieknappheit, Mangel an Arbeitskräften, Produktionsmittelknappheit  Feldausfällen den Bedarf Ihrer Kunden erfüllen zu können?</t>
  </si>
  <si>
    <t>Befinden sich in allen Arbeitsbereichen immer nur die Gegenstände, die zur Ausführung der jeweiligen Arbeitsaufträge unbedingt erforderlich sind?</t>
  </si>
  <si>
    <t>Ist die Produktion so geplant, dass Materialhandling und -aufkommen minimiert werden?</t>
  </si>
  <si>
    <t xml:space="preserve">Planung der Produktrealisierung </t>
  </si>
  <si>
    <t>Können Sie die Vertraulichkeit der vom Kunden in Auftrag gegebenen Produkte, der Projekte in der Entwicklungsphase sowie der zugehörigen Produktinformationen gewährleisten?</t>
  </si>
  <si>
    <t>Kundenbezogene Prozesse</t>
  </si>
  <si>
    <t>Customer related processes</t>
  </si>
  <si>
    <t>Verfügen Sie über ein System zur Verwal-tung und Aufbewahrung der von Kunden zur Verfügung gestellten Dokumente?</t>
  </si>
  <si>
    <t>Werden die Anforderungen Ihrer Kunden im Unternehmen dokumentiert und kommuniziert?</t>
  </si>
  <si>
    <t>Haben Sie ein formales System zur Prüfung und  Annahme von Verträgen oder Bestellungen eingerichtet?</t>
  </si>
  <si>
    <t>Haben Sie die Möglichkeit, mit KB elektronische Informationen auszutauschen, wie z. B.:  Entwicklungsdaten, Vertragsdaten, Berichte usw.?</t>
  </si>
  <si>
    <t>Legen Sie für jedes Projekt in der Entwicklung Zielvorgaben im Hinblick auf Produktqualität, Lebensdauer, Zuverlässigkeit, Haltbarkeit, Wartung, Zeitrahmen und Kosten fest und wird die Einhaltung dieser Vorgaben überwacht?</t>
  </si>
  <si>
    <t>Verfügen Sie über robuste Prozesse zum Management von Änderungen sowohl seitens des Kunden als auch für solche, die Sie selbst vornehmen?</t>
  </si>
  <si>
    <t>Führen Sie regelmäßige Bewertungen der Leistungsqualität Ihrer Lieferanten durch?</t>
  </si>
  <si>
    <t>Gibt es für die Lieferantenbewertung exakt definierte Kriterien?</t>
  </si>
  <si>
    <t>Liegt eine Liste zugelassener Lieferanten vor?</t>
  </si>
  <si>
    <t>Werden Zukäufe bei der Warenannahme – im Wareneingang oder beim Einbau – auf absolute Fehlerfreiheit (Zero Defect – ZD) kontrolliert und werden die Aufzeichnungen zu diesen Kontrollen für mindestens 5 Jahre (bei speziellen Aufzeichnungen 15 Jahre) nach der Produktion aufbewahrt?</t>
  </si>
  <si>
    <t>Sind Ihre Lagerstandorte durchorganisiert und werden sie überwacht?</t>
  </si>
  <si>
    <t xml:space="preserve">Gibt es definierte Prozesse zur Identifikation von Rohstoffen und der Erlangung von Informationen zu ihrer Verwendung? </t>
  </si>
  <si>
    <t>Werden die Rohstoffe so gelagert und verarbeitet, dass keine Beeinträchtigung der Umwelt daraus resultiert?</t>
  </si>
  <si>
    <t>Werden begrenzt haltbare Materialien gekennzeichnet und überwacht?</t>
  </si>
  <si>
    <t>Werden die Materialien bis zum Abschluss ihrer Prüfung gesperrt?</t>
  </si>
  <si>
    <t>Liegen Verfahrensanweisungen zur Aussonderung, Identifizierung  und Entsorgung unbrauchbarer Materialien vor?</t>
  </si>
  <si>
    <t>Setzen Ihre Unterauftragnehmer dringende Maßnahmen, Korrektur- und Verbesserungsmaßnahmen innerhalb der vereinbarten Fristen um?</t>
  </si>
  <si>
    <t>Produktion und Leistungserbringung</t>
  </si>
  <si>
    <t>Liegen dokumentierte Arbeitsanweisungen für die Produktion vor?</t>
  </si>
  <si>
    <t xml:space="preserve">Werden Prozessdaten erfasst und gespeichert? </t>
  </si>
  <si>
    <t>Gibt es einen formalen Prozess zur Kontrolle „laufender Prozesse“?</t>
  </si>
  <si>
    <t>Wird die Kontrolle der „laufenden Prozesse“ von den Produktionsmitarbeitern durchgeführt?</t>
  </si>
  <si>
    <t>Gibt es Aufzeichnungen zu allen Kontrollen und werden diese aufbewahrt?</t>
  </si>
  <si>
    <t>Werden Angaben zu den Chargen / Partien / Losen erfasst und gespeichert?</t>
  </si>
  <si>
    <t>Können Sie die Rückverfolgbarkeit Ihrer Produktionslose / -chargen während des gesamten Produktionsprozesses bis hin zum ausgelieferten Endprodukt gewährleisten?</t>
  </si>
  <si>
    <t>Werden die Produkte zwischen den einzelnen Produktionsabschnitten gekennzeichnet und kontrolliert?</t>
  </si>
  <si>
    <t>Werden Prüfmaterialien gekennzeichnet und kontrolliert?</t>
  </si>
  <si>
    <t>Wird die Verpackung und Kennzeichnung von Warensendungen kontrolliert und überwacht?</t>
  </si>
  <si>
    <t>Können Sie Ihre Materialien und Produkte nach Artikelnummer, Charge und Kunden trennen und identifizieren?</t>
  </si>
  <si>
    <t>Gibt es ein System zur Präventivwartung der prozesskritischen Geräte, Maschinen, Werkzeuge  Kalibrierungsinstrumente?</t>
  </si>
  <si>
    <t>Gibt es einen festen Zeitplan für Betriebs- und Wartungsintervalle?</t>
  </si>
  <si>
    <t>Sind die Zuständigkeiten für Betrieb und Wartung definiert?</t>
  </si>
  <si>
    <t xml:space="preserve">Ziehen Sie die Gesamtlebensdauer der Betriebsmittel in Betracht? </t>
  </si>
  <si>
    <t>Kontrolle von Überwachungs- und Messgeräten</t>
  </si>
  <si>
    <t>Gibt es einen Prozess zur Auswahl, Benutzung, Anwendung und Inspektion von Instrumenten und Geräten, die zu Inspektions-, Prüf- und Überwachungs-zwecken verwendet werden?</t>
  </si>
  <si>
    <t>Werden die (zur Überwachung von Produkten und Prozessen verwendeten) Inspektions- und Messgeräte regelmäßig kalibriert?</t>
  </si>
  <si>
    <t>Werden Aufzeichnungen zu Kalibrierungen geführt?</t>
  </si>
  <si>
    <t>Werden die Mess- und Prüfgeräte unter kontrollierten Bedingungen kalibriert?</t>
  </si>
  <si>
    <t>Wird die Leistungsfähigkeit der Mess-  Prüfgeräte bewertet?</t>
  </si>
  <si>
    <t>Messungen, Analysen und Verbesserungen</t>
  </si>
  <si>
    <t>Sind im gesamten Unternehmen verschiedene statistische Verfahren bekannt und werden diese flächendeckend angewendet?</t>
  </si>
  <si>
    <t xml:space="preserve">Wird statistische Prozesslenkung (SPC) angewandt? </t>
  </si>
  <si>
    <t>Sind die durchgeführten Korrektur- und Verbesserungsmaßnahmen aus statistischen Analysen von Daten und Effektivitätsuntersuchungen abgeleitet worden?</t>
  </si>
  <si>
    <t xml:space="preserve">Werden bei der Festlegung von Korrekturmaßnahmen Verfahren zur Fehlerprävention angewandt? </t>
  </si>
  <si>
    <t>Führen Sie Prozessfähigkeitsuntersuchungen durch?</t>
  </si>
  <si>
    <t>Können Sie die folgenden Prozessfähigkeitsindikatoren berechnen: pp / ppk / cp / cpk?</t>
  </si>
  <si>
    <t>Überwachung und Messung</t>
  </si>
  <si>
    <t>Führen Sie in jedem Funktionsbereich und für jeden Prozess regelmäßig – mindestens einmal im Jahr – Qualitätsaudits durch?</t>
  </si>
  <si>
    <t>Werden in Ihrem Unternehmen regelmäßig Produkt- und Prozessaudits von einem hierfür qualifizierten Auditor durchgeführt?</t>
  </si>
  <si>
    <t>Liegt ein Auditplan vor und wird er eingehalten?</t>
  </si>
  <si>
    <t>Werden die Auditergebnisse dokumentiert und den verantwortlichen Personen mitgeteilt?</t>
  </si>
  <si>
    <t>Werden alle Produkte anhand vollständiger Messungen und Funktionstests requalifiziert und werden die Ergebnisse festgehalten?</t>
  </si>
  <si>
    <t>Werden Korrekturmaßnahmen innerhalb von 30 Tagen umgesetzt und wird ihre Effektivität bewertet?</t>
  </si>
  <si>
    <t>Kontrolle fehlerhafter Produkte</t>
  </si>
  <si>
    <t>Ist sichergestellt, dass fehlerhafte Produkte erkannt  überprüft werden, um ihre Auslieferung an den Kunden zu verhindern?</t>
  </si>
  <si>
    <t>Ist sichergestellt, dass eine Auslieferung fehlerhafter Produkte nur mit Zustimmung des Kunden erfolgt?</t>
  </si>
  <si>
    <t>Gibt es ein System zur Bearbeitung von Kundenreklamationen?</t>
  </si>
  <si>
    <t>Ist ein aktives „Feedback-System“ zu Korrektur- und Verbesserungsmaßnahmen vorhanden – d. h. 8D-Reporte?</t>
  </si>
  <si>
    <t>Datenanalyse</t>
  </si>
  <si>
    <t>Werden regelmäßige Datenanalysen durchgeführt, um die Entwicklungen in den Bereichen Qualität und Leistung mit den Unternehmenszielvorgaben zu vergleichen?</t>
  </si>
  <si>
    <t>Verbesserung</t>
  </si>
  <si>
    <t>Arbeitet Ihr Unternehmen kontinuierlich an einer Verbesserung in den Bereichen Qualität, Kosten und Effektivität?</t>
  </si>
  <si>
    <t>Werden entsprechende Maßnahmen in allen Unternehmensbereichen umgesetzt?</t>
  </si>
  <si>
    <t>Werden Verbesserungsmaßnahmen dokumentiert und werden die verantwortlichen Personen genannt?</t>
  </si>
  <si>
    <t>Liegt ein Plan für die schnelle Umsetzung von Produktanpassungen vor?</t>
  </si>
  <si>
    <t>Werden strukturierte Problemlösungsmethoden angewandt?</t>
  </si>
  <si>
    <t>Angaben zum Umweltmanagement des Unternehmens</t>
  </si>
  <si>
    <t>Wird die Einhaltung der Umweltgesetze systematisch überprüft, nachvollziehbar bewertet und dokumentiert?</t>
  </si>
  <si>
    <t>Wurden Ziele festgelegt, die den Umweltschutz fördern? Können diese Ziele nachvollziehbar belegt werden?</t>
  </si>
  <si>
    <t>Umweltrelevante Prozesse, Umweltauswirkungen</t>
  </si>
  <si>
    <t>Wird wiederverwertbares Verpackungsmaterial verwendet und werden Einwegverpackungen recycelt?</t>
  </si>
  <si>
    <t>Werden die Auswirkungen der Produkte und Produktionsprozesse auf die Umwelt systematisch ermittelt und dokumentiert?</t>
  </si>
  <si>
    <t>Werden die Mitarbeiter regelmäßig zum Thema Umweltschutz informiert und geschult?</t>
  </si>
  <si>
    <t xml:space="preserve">Wirken Sie auf die Verbesserung des Umweltschutzes bei Ihren Lieferanten und Vertragspartnern hin? </t>
  </si>
  <si>
    <t xml:space="preserve">Abschnitt F Global Compact Prinzipien </t>
  </si>
  <si>
    <t>Verantwortungsvolles Verhalten des Unternehmens.</t>
  </si>
  <si>
    <t>Angaben zu den Global Compact Prinzipien</t>
  </si>
  <si>
    <t>Bekennen Sie sich dazu, die zehn Prinzipien des Global Compact in den Bereichen Umweltschutz, Arbeitsnormen, Menschenrechte und Korruptionsbekämpfung zu unterstützen und in der Unternehmenspraxis umzusetzen?</t>
  </si>
  <si>
    <t>Haben Sie Leitlinien/Verfahren etabliert, um die Beseitigung jeglicher Formen von Diskriminierung bei Anstellung und Beschäftigung sicherzustellen?</t>
  </si>
  <si>
    <t>Haben Sie Leitlinien/ Verfahren etabliert, die die Verhinderung von Zwangs- und Pflichtarbeit sowie Kinderarbeit sicherstellen?</t>
  </si>
  <si>
    <t>Hat Ihr Unternehmen Regelungen und Vorkehrungen getroffen, die einen angemessenen Arbeitsschutz der Mitarbeiter sicherstellen?</t>
  </si>
  <si>
    <t>Unterstützt Ihr Unternehmen die Entwicklung und Verbreitung umweltverträglicher Erzeugnisse und Technologien?</t>
  </si>
  <si>
    <t>Hat Ihr Unternehmen Regelungen und Vor-kehrungen getroffen, die faire Geschäftspraktiken und ethisch einwandfreie Verhaltensweisen (z.B. Einhaltung gesetzlicher Vorschriften, Korruptionsbekämpfung, Vermeidung von Interessenkonflikten) sicherstellen?</t>
  </si>
  <si>
    <t>Haben Sie Einkaufsleitlinien entwickelt, die Ihre Zulieferer und Auftragnehmer unter anderem im Zusammenhang mit Umweltauflagen, ethischen Geschäftspraktiken und Arbeitsnormen zur Berücksichtigung des Nachhaltigkeitsprinzips anhalten?</t>
  </si>
  <si>
    <t>8.</t>
  </si>
  <si>
    <t>9.</t>
  </si>
  <si>
    <t>10.</t>
  </si>
  <si>
    <t>Status: Rev 01</t>
  </si>
  <si>
    <t xml:space="preserve">Section E Environmental and Safty management </t>
  </si>
  <si>
    <t xml:space="preserve">Abschnitt E Bewertung des Umwelt- und Sicherheitsmanagements </t>
  </si>
  <si>
    <t>11.</t>
  </si>
  <si>
    <t>12.</t>
  </si>
  <si>
    <t>Assessment: 0</t>
  </si>
  <si>
    <t>1 = Anforderung teilweise erfüllt</t>
  </si>
  <si>
    <t>Sprache / Language ==&gt;</t>
  </si>
  <si>
    <t>If no certification available, is there an environmental management system established compliant to a recognized standard, like EMAS (EU-regulation 1221/2009), ISO 14001 or BS 7750?</t>
  </si>
  <si>
    <t>Falls keine Zertifizierung vorliegt, ist ein Umweltmanagementsystem eingeführt, das den Anforderungen eines anerkannten Standards entspricht, z.B. EMAS (EU-Verordnung 1221/2009), ISO 14001 oder BS 7750?</t>
  </si>
  <si>
    <t xml:space="preserve">Is there an organizational structure considering environmental responsible(s) in the company? </t>
  </si>
  <si>
    <t xml:space="preserve">Sind ein oder mehrere Umweltbeauftragte(r) Teil der Unternehmensstruktur? </t>
  </si>
  <si>
    <t>Are there targets defined which support environmental protection? Can these targets be proven comprehensibly?</t>
  </si>
  <si>
    <t xml:space="preserve">Is there an internal control system (e.g. by auditing) that considers the interests of environmental protection. </t>
  </si>
  <si>
    <t>Gibt es ein internes Kontrollsystem (z. B. in Form von Audits), das den Bereich Umweltschutz umfasst?</t>
  </si>
  <si>
    <t>Is re-useable packaging in use and is non-returnable packaging recycled?</t>
  </si>
  <si>
    <t>When transporting of goods is required, are vehicles equipped with a soot particle filter, which fulfills the higher exhaust standards (in Europe: EURO IV or better)?</t>
  </si>
  <si>
    <t>Sind die für den Warentransport eingesetzten Fahrzeuge mit einem Rußpartikelfilter ausgestattet, der die höheren Abgasnormen erfüllt (in Europa: EURO IV oder besser)?</t>
  </si>
  <si>
    <t xml:space="preserve">Do you work towards the improvement of environmental protection with your suppliers and contracting parties? </t>
  </si>
  <si>
    <t>Information about safety management in the company</t>
  </si>
  <si>
    <t>Angaben zum Arbeitsschutzmanagement im Unternehmen</t>
  </si>
  <si>
    <t>If no certification available, is there an occupational health and safety management system established compliant to a recognized standard, like OHSAS 18001, OHRIS or SCC?</t>
  </si>
  <si>
    <t>Falls keine Zertifizierung vorliegt, ist ein Arbeitsschutzmanagementsystem eingeführt, das den Anforderungen eines anerkannten Standards entspricht, z.B. OHSAS 18001, OHRIS oder SCC?</t>
  </si>
  <si>
    <t xml:space="preserve">Is there an organizational structure considering safety specialists in the company? </t>
  </si>
  <si>
    <t xml:space="preserve">Sind ein oder mehrere Arbeitssicherheitsexperten (Sicherheitsfachkräfte) Teil der Unternehmensstruktur? </t>
  </si>
  <si>
    <t>Is compliance with occupational health and safety laws systematically determined, comprehensibly evaluated and documented?
Do the word-conditions correspond to the general ergonomic and health principles?</t>
  </si>
  <si>
    <t>Wird die Einhaltung der Arbeits- und Gesundheitsschutzgesetze systematisch überprüft, nachvollziehbar bewertet und dokumentiert?
Entsprechen die Arbeitsbedingungen den allgemein üblichen Ergonomie- und Gesundheitsgrundsätzen?</t>
  </si>
  <si>
    <t>Can it be guaranteed that when entering or working on KB working areas, the safety rules like „Safety Guidelines“ or „Safety rules for contractors“ are followed?</t>
  </si>
  <si>
    <t>Ist sichergestellt, dass beim Betreten oder Ausführen von Arbeiten in KB-Arbeitsbereichen alle Sicherheitsvorgaben, wie z. B. die „Sicherheitsrichtlinien“ oder die Vorschriften zur „Sicherheit der Mitarbeiter von Fremdfirmen“, eingehalten werden?</t>
  </si>
  <si>
    <t>Is there an internal control system (e.g. by auditing) that considers the interests of occupational health and safety as well as the order and cleanliness?</t>
  </si>
  <si>
    <t>Gibt es ein internes Kontrollsystem (z. B. in Form von Audits), das die Bereiche Arbeitssicherheit sowie Ordnung und Sauberkeit umfasst?</t>
  </si>
  <si>
    <t>Are workers informed and trained regularly about safety?</t>
  </si>
  <si>
    <t>Werden die Mitarbeiter regelmäßig zum Thema Arbeitsschutz informiert und geschult?</t>
  </si>
  <si>
    <t>OHSAS 18001</t>
  </si>
  <si>
    <t>Hungarian</t>
  </si>
  <si>
    <t>Dátum:</t>
  </si>
  <si>
    <t>Értékelés</t>
  </si>
  <si>
    <t>Beszállító</t>
  </si>
  <si>
    <t>A fejezet, cég profil</t>
  </si>
  <si>
    <t>Beszállítói önértékelés</t>
  </si>
  <si>
    <t>Cég hivatalos neve:</t>
  </si>
  <si>
    <t>Kitöltötte:</t>
  </si>
  <si>
    <t>Cég bejegyzett címe:</t>
  </si>
  <si>
    <t>Osztály:</t>
  </si>
  <si>
    <t>Írányítószám, város:</t>
  </si>
  <si>
    <t>Ország:</t>
  </si>
  <si>
    <t>Internet(www):</t>
  </si>
  <si>
    <t>DUNS:</t>
  </si>
  <si>
    <t>KB beszállítói szám (ha már létezik):</t>
  </si>
  <si>
    <t>Levelezési cím (ha különbözik a bejegyzett címtȍl):</t>
  </si>
  <si>
    <t>Cég neve:</t>
  </si>
  <si>
    <t>Cím:</t>
  </si>
  <si>
    <t>Kontaktszemélyek</t>
  </si>
  <si>
    <t>Pozíció</t>
  </si>
  <si>
    <t>Név</t>
  </si>
  <si>
    <t>Közvetlen telefonszám</t>
  </si>
  <si>
    <t>Ügyvezetȍ</t>
  </si>
  <si>
    <t>Értékesítési vezetȍ</t>
  </si>
  <si>
    <t>Logisztikai vezetȍ</t>
  </si>
  <si>
    <t>Gyártásvezetȍ</t>
  </si>
  <si>
    <t>Minȍségügyi vezetȍ</t>
  </si>
  <si>
    <t>Környezetvédelmi vezetȍ</t>
  </si>
  <si>
    <t>Munkavédelmi felelȍs</t>
  </si>
  <si>
    <t>Beruházások (utolsó 4 év)</t>
  </si>
  <si>
    <t>Dolgozók száma (utolsó 3 év)</t>
  </si>
  <si>
    <t>Év</t>
  </si>
  <si>
    <t>Értékesítés(€)</t>
  </si>
  <si>
    <t>Beruházások(€)</t>
  </si>
  <si>
    <t>Terület</t>
  </si>
  <si>
    <t>Gyártás</t>
  </si>
  <si>
    <t>Beszerzés</t>
  </si>
  <si>
    <t>Minȍség</t>
  </si>
  <si>
    <t>Fejlesztés</t>
  </si>
  <si>
    <t>Értékesítési terület(iparágak)</t>
  </si>
  <si>
    <t>Fȍbb vevȍk</t>
  </si>
  <si>
    <t>Értékesítés %-ban</t>
  </si>
  <si>
    <t>Ajánlatkérést fogadó beszerző</t>
  </si>
  <si>
    <t>Szállítandó termékcsoport</t>
  </si>
  <si>
    <t>Kockázati biztosítás</t>
  </si>
  <si>
    <t>Jelenlegi</t>
  </si>
  <si>
    <t>Ha nincs, mikortól tervezve?</t>
  </si>
  <si>
    <t>Biztosítás fedezet</t>
  </si>
  <si>
    <t>Igen</t>
  </si>
  <si>
    <t>Nem</t>
  </si>
  <si>
    <t>Termék kozkázati biztosítás</t>
  </si>
  <si>
    <t>Termék visszahívási biztosítás</t>
  </si>
  <si>
    <t>B fejezet, Bank és számlainformációk</t>
  </si>
  <si>
    <t>Bankszámlák</t>
  </si>
  <si>
    <t>Bank neve és címe</t>
  </si>
  <si>
    <t>Számlaszám</t>
  </si>
  <si>
    <t>Bankazonosító szám</t>
  </si>
  <si>
    <t>SWIFT</t>
  </si>
  <si>
    <t>IBAN</t>
  </si>
  <si>
    <t>Hitel információk</t>
  </si>
  <si>
    <t>Hitelkibocsájtó neve</t>
  </si>
  <si>
    <t>Típus (Bank/Beszállító)</t>
  </si>
  <si>
    <t>Kontaktszemély</t>
  </si>
  <si>
    <t>Telefonszám</t>
  </si>
  <si>
    <t>C fejezet, Minȍségbiztosítás</t>
  </si>
  <si>
    <t>Minȍségügyi, Környezetvédelmi, Munkavédelmi tanúsítványok</t>
  </si>
  <si>
    <t xml:space="preserve">Kérem jelölje be illetve küldjön egy másolatot a meglévȍ, érvényes tanusítványból </t>
  </si>
  <si>
    <t>Tanusítvány</t>
  </si>
  <si>
    <t>Tanusítvány / lejárat dátuma</t>
  </si>
  <si>
    <t>Tanusító szervezet</t>
  </si>
  <si>
    <t>Vevȍi jóváhagyások / auditok</t>
  </si>
  <si>
    <t>Vevȍ neve</t>
  </si>
  <si>
    <t>Audit típusa</t>
  </si>
  <si>
    <t>Eredmény</t>
  </si>
  <si>
    <t>Minȍségírányítási eszközök, módszerek</t>
  </si>
  <si>
    <t>Módszerek</t>
  </si>
  <si>
    <t>Általában használva</t>
  </si>
  <si>
    <t>Részben használva</t>
  </si>
  <si>
    <t>Nincs használatban</t>
  </si>
  <si>
    <t>Használatban mióta (dátum)</t>
  </si>
  <si>
    <t>Részletes probléma megoldó eszközök, módszerek (3x5 Miért, Halszálka diagram, stb)</t>
  </si>
  <si>
    <t>Folyamat és gépképesség vizsgálat</t>
  </si>
  <si>
    <t>Termék engedélyezés QS 9000 szerint (PPAP)</t>
  </si>
  <si>
    <t>Termék engedélyezés VDA szerint (PPF)</t>
  </si>
  <si>
    <t>Fejlett termék/folyamat minȍségtervezés (APQP)</t>
  </si>
  <si>
    <t>Hibamód és hatás elemzés, fejlesztés(DFMEA) és folyamat(PFMEA)</t>
  </si>
  <si>
    <t>D fejezet, Minȍségírányítási rendszer értékelés</t>
  </si>
  <si>
    <t>Beszállítói önértékelés vagy KB SQD értékelés?</t>
  </si>
  <si>
    <t>Önértékelés</t>
  </si>
  <si>
    <t>KB SQD értékelés</t>
  </si>
  <si>
    <t>Megjegyzés (amennyiben „&lt;2 vagy N/A“)</t>
  </si>
  <si>
    <t>N/A = Nem alkalmazható</t>
  </si>
  <si>
    <t>0 = Követelmény nincs teljesítve</t>
  </si>
  <si>
    <t>1 = Követelmény részben teljesítve</t>
  </si>
  <si>
    <t>2 = Követelmény teljesítve</t>
  </si>
  <si>
    <t>Minȍségírányítási rendszer</t>
  </si>
  <si>
    <t xml:space="preserve">Van az IRIS szerint bevezetett és dokumentált QM-rendszerük? </t>
  </si>
  <si>
    <t>Van minȍségügyi kézikönyvük mely részletesen leírja a minȍségügyi szervezetet, feladatokat, felelȍsségeket illetve a fȍ folyamatokat és eljárás utasításokat?</t>
  </si>
  <si>
    <t>Tudják garantálni, hogy a különbözȍ műszaki elȍírások, szabványok és KB változások idȍben, 14 napon belül, felülviszgálatra és hatályba léptetésre kerül?</t>
  </si>
  <si>
    <t xml:space="preserve">Van dokumentum kezelési rendszerük?  </t>
  </si>
  <si>
    <t>Vannak olyan feljegyzéseik, dokumentumaik amelyekre speciális archiválási szabályok vonatkoznak (minimum 15 év)?</t>
  </si>
  <si>
    <t>Használják a Nemzetközi Alapanyag Adatok Rendszert (IMDS)? Van online hozzáférésük az IMDS rendszerhez?</t>
  </si>
  <si>
    <t>Vezetȍség felelȍssége</t>
  </si>
  <si>
    <t xml:space="preserve">Vannak a vezetȍség által meghatározott, mérhetȍ, minȍségügyi mutatószámok? </t>
  </si>
  <si>
    <t>Felülvizsgálja a vezetȍség a Mínȍségírányítási rendszert adott idȍközönként?</t>
  </si>
  <si>
    <t>Emberi erȍforrás</t>
  </si>
  <si>
    <t>Felülvizsgálják illetve dokumentálják az oktatások elvégzését?</t>
  </si>
  <si>
    <t>Felülvizsgálják a szükséges okatatásokat minden alkamazotra kiterjedȍen bizonyos idȍközönként?</t>
  </si>
  <si>
    <t>Van oktatási terv minden alkalmazotra?</t>
  </si>
  <si>
    <t>Felülvizsgálják az oktatások hatékonyságát?</t>
  </si>
  <si>
    <t xml:space="preserve">Kiértékelik bizonyos idȍközönként az alkalmazottak motivációját illetve tudatosságát figyelembe véve az általuk végzett tevékenység fontosságát a vevȍi követelményekre? </t>
  </si>
  <si>
    <t>Munkakörnyezet</t>
  </si>
  <si>
    <t xml:space="preserve">Van vészhelyzeti terv a vevȍi követelmények mindenkori kielégítésére mint például energia hiány, munkaerȍ hiány, kapacitás hiány és végfelhasználói reklamációk esetén? </t>
  </si>
  <si>
    <t>Minden területen ügyelnek a rendre illetve a tisztaságra?</t>
  </si>
  <si>
    <t>Minden területen csak az ott használt eszközöket illetve anyagokat tárolják?</t>
  </si>
  <si>
    <t>Gyártó terület, gépek, eszközök elhelyezése úgy van kialakítva hogy minimalizálja az anyagáramlást, anyagáramlási utakat?</t>
  </si>
  <si>
    <t>Termékmegvalósítás tervezés</t>
  </si>
  <si>
    <t>Garantálni tudják a titoktartási köteleztségüket a vevöi termékek, projektek és a kapcsolodó egyéb információknál?</t>
  </si>
  <si>
    <t>Vevȍvel kapcsolatos folyamatok</t>
  </si>
  <si>
    <t>Létezik bármilyen rendszer a vevȍi dokumentumok kezelésére, tárolására, védelmére?</t>
  </si>
  <si>
    <t>Vevȍi követelmények dokumentálva illetve kommuniálva vannak a dolgozóknak?</t>
  </si>
  <si>
    <t>Van bármilyen hivatalos rendszerük a vevȍi szerzȍdések, megrendelések felülvizsgálatára illetve elfogadására?</t>
  </si>
  <si>
    <t>Van lehetȍségük a vevȍjükkel digitális adatokat váltani, mint például fejlesztési információk (CAD rajzok), szerzȍdések, riportok, e-mail, stb?</t>
  </si>
  <si>
    <t xml:space="preserve">Rendelkeznek a fejlesztésekhez szükséges megfelelȍ képesítésű szakemberekkel? </t>
  </si>
  <si>
    <t>Meghatároznak illetve felülvizsgálnak minden fejlesztési projekthez célokat a termékminȍségre, élettartamra, megbízhatóságra, tartósságra, határidȍkre és költségekre?</t>
  </si>
  <si>
    <t xml:space="preserve">Felülvizsgálják a fejlesztést különbözȍ stätuszokban mielȍtt az eredményeket feldolgozzák és a vevȍvel tudatják? </t>
  </si>
  <si>
    <t>Rendelkeznek stabil folyamattal a vevȍi illetve az önerȍbȍl történȍ változtatások kezelésére?</t>
  </si>
  <si>
    <t>A beszállítói minȍségi teljesítmény értékelve van meghatározott idȍközönként?</t>
  </si>
  <si>
    <t>Vannak mehatározott kritériumok a beszállítóértékelésre?</t>
  </si>
  <si>
    <t>Van listájuk az engedélyezett beszállítókról?</t>
  </si>
  <si>
    <t>Ellenȍrzik a bejövȍárut dokumentált formában és megȍrzik, min. 5 évre, ezeket a feljegyzéseket?</t>
  </si>
  <si>
    <t>A raktárak, tárolóhelyek jól szervezettek és meghatározott idȍközönként felülvizsgálják?</t>
  </si>
  <si>
    <t xml:space="preserve">Van folyamat meghatározva az alapanyagok beazonosítására illetve a késȍbbi felhasználhatóságára? </t>
  </si>
  <si>
    <t>Környezetkímélö módon vannak az alapanyagok tárolva illetve feldolgozva?</t>
  </si>
  <si>
    <t>Meghatározott szavatosságú alapanyagok beazonosíthatóak illetve ellenȍrizve vannak?</t>
  </si>
  <si>
    <t xml:space="preserve">Elkülönítve tárolják az anyagokat amíg nem találják azokat megfelelönek (bejövȍáru ellenȍrzés)? </t>
  </si>
  <si>
    <t>Meghatároztak folyamatokat a nem megfelelö alapanyagok kezelésére (beazonosítás, elkülönítés, selejtezés)?</t>
  </si>
  <si>
    <t>Meghatároznak azonnali, javító illetve megelȍzȍ intézkedéseket a beszálítóikkal nem megfelelȍsség esetén?</t>
  </si>
  <si>
    <t>Gyártás és szolgáltatás</t>
  </si>
  <si>
    <t>Vannak írásos munkautasítások?</t>
  </si>
  <si>
    <t>A folyamat paraméterek dokumentálva vannak?</t>
  </si>
  <si>
    <t xml:space="preserve">Meghatároztak gyártásközi ellenȍrzési folyamatokat? </t>
  </si>
  <si>
    <t>A gyártásközi ellenȍrzéseket a gépkezelȍk végzik?</t>
  </si>
  <si>
    <t>Az elvégzett ellenȍrzések dokumentálva illetve archiválva vannak?</t>
  </si>
  <si>
    <t>A különbözȍ gyártási tételek adatai dokumentálva vannak?</t>
  </si>
  <si>
    <t>A  gyártási tételek visszakövethetȍsége garantálva van az egész gyártási láncon, albeszállítói tevékenységekkel együtt?</t>
  </si>
  <si>
    <t>A félkész, késztermékek beazonosíthatóak az egész gyártási lánc során?</t>
  </si>
  <si>
    <t>A teszt termékek beazonosíthatóak az egész gyártási lánc során?</t>
  </si>
  <si>
    <t>Ellenȍrzik a kiszállítandó termékek csomagolását illetve cimkézését?</t>
  </si>
  <si>
    <t>Különválaszthatóak illetve beazonosíthatóak az anyagok, temékek azonosítószám, tétel illetve vevȍnként?</t>
  </si>
  <si>
    <t>Bevezettek megelȍzȍ karbantartást a termékelȍállítás során használt gépekre, eszközökre?</t>
  </si>
  <si>
    <t>Meghatároztak egy megelȍzȍ karbantartási tervet és ez teljesítve van?</t>
  </si>
  <si>
    <t>Meghatároztak felelȍsségeket a gyártásban illetve a karbantartásra?</t>
  </si>
  <si>
    <t>Figyelembe veszik-e az üzemben használt anyagok teljes élettartamát?</t>
  </si>
  <si>
    <t>Mérȍ, ellenȍrzȍ eszközök</t>
  </si>
  <si>
    <t xml:space="preserve">Van folyamat lefektetve, hogy milyen mérȍ illetve ellenȍrzȍ készülékeket, berendezéseket mikor milyen ellenȍrzéseknél, méréseknél kell használni? </t>
  </si>
  <si>
    <t>Elvégzik a szükséges mérȍ illetve vizsgáló eszközök meghatározott idȍközönkénti kalibrálását?</t>
  </si>
  <si>
    <t>Dokumentálják a kalibrálásokat?</t>
  </si>
  <si>
    <t>Ellenȍrzött körülmények között zajlik a kalibrálás?</t>
  </si>
  <si>
    <t>Vizsgálják illetve kiértékelik a mérȍeszközök illetve teszberendezések képességét (MSA) ?</t>
  </si>
  <si>
    <t>Mérés, elemzés és fejlesztés</t>
  </si>
  <si>
    <t>Ismerik a különbözȍ statisztikai módszereket és ismertek ezen fogalmak az illetékes területeken?</t>
  </si>
  <si>
    <t>Alkalmaznak statisztikus folyamatszabályozást?</t>
  </si>
  <si>
    <t>Meghatároznak javító intézkedéseket illetve fejlesztési javaslatokat a gyűjtött adatok statisztikai elemzésébȍl és mérik ezek hatékonyságát?</t>
  </si>
  <si>
    <t>Alkalmaznak megelȍzȍ intézkedéseket a feltárt problémák megoldásánál?</t>
  </si>
  <si>
    <t>Végeznek folyamatképességi vizsgálatokat?</t>
  </si>
  <si>
    <t>Ki tudják számítani a következȍ folyamatképességi mutatókat: pp / ppk / cp / cpk?</t>
  </si>
  <si>
    <t>Rendszerfelügyelet és mérés</t>
  </si>
  <si>
    <t>Végeznek minden területre kiterjedö belsö minȍségügyi auditokat meghatározott idȍközönként, min. èvente?</t>
  </si>
  <si>
    <t>Végeznek termék illetve folyamat auditokat?</t>
  </si>
  <si>
    <t>Van auditterv és teljesítik ezt?</t>
  </si>
  <si>
    <t>Van dokumentált auditeredmény és kommunikállják ezeket a felelȍs embereknek?</t>
  </si>
  <si>
    <t>Meghatározzák a következȍ szempontokat minden létezȍ mérésnél, vizsgáltnál? Mérȍeszköz, mintanagyság, ,mintavételezési gyakoriság, elfogadási kritérium, reakció terv amennyiben a vizsgált paraméter nem megfelelȍ.</t>
  </si>
  <si>
    <t>Újraminȍsítenek minden terméket meghatározott idȍközönként és dokumentálják ezeket?</t>
  </si>
  <si>
    <t>Bevezetik a javítóintézkedéseket 30 napon belül és kiértékelik ezek hatékonyságát?</t>
  </si>
  <si>
    <t>Nem megfelelȍ termék kezelése</t>
  </si>
  <si>
    <t>Biztosítva van, hogy a nem megfelelȍ terméket idȍben azonosítják illetve kezelik és nem mehet ki a vevȍhöz?</t>
  </si>
  <si>
    <t>Biztosítva van, hogy a nem megfelelȍ termék nem mehet ki a vevȍhöz, vevȍi jóváhagyás nélkül?</t>
  </si>
  <si>
    <t>Létezik rendszerük a vevȍi reklamációk kezelésére?</t>
  </si>
  <si>
    <t>Létezik egy aktív visszacsatolási rendszer a javító illetve megelȍzȍ intézkedésekrȍl, például 8D riport?</t>
  </si>
  <si>
    <t>Adatelemzés</t>
  </si>
  <si>
    <t>Elemzik az adatokat meghatározott idȍközönként, hogy képet kapjanak a minȍség illetve teljesítmény tendenciákról, összevethetȍek legyenek a célokkal?</t>
  </si>
  <si>
    <t>Törekszik a szervezet a folyamatos fejlesztésre figyelembevéve a minȍséget, költségeket, hatékonyságot?</t>
  </si>
  <si>
    <t>Minden területet bevonnak a folyamatos fejlesztésbe?</t>
  </si>
  <si>
    <t>Dokumentálják a folyamatos fejlesztésbȍl adódó intézkedéseket, meghatározzák a felelȍsöket, határidȍket?</t>
  </si>
  <si>
    <t>Létezik rendszerük a termékváltoztatások gyors bevezetésére, kezelésére?</t>
  </si>
  <si>
    <t>Használnak fejlett, struktúrált problémamegoldó technikákat, módszereket?</t>
  </si>
  <si>
    <t>E fejezet, Környezet- és munkavédelem</t>
  </si>
  <si>
    <t>Informácó a környezetírányítási rendszerrȍl</t>
  </si>
  <si>
    <t>Amennyiben nincs tanúsítványuk, létezik környezetirányítási rendszerük összhangban valamilyen követelményrendszerrel mint például EMAS (EU-rendeletek 1221/2009), ISO 14001 vagy BS 7750?</t>
  </si>
  <si>
    <t>Van önöknél környezetirányítási felelȍs?</t>
  </si>
  <si>
    <t>Felülvizsgálják, értékelik, dokumentálják rendszeresen a környezetirányítási követelményeket?</t>
  </si>
  <si>
    <t>Meghatároznak környezetvédelmi célokat? Teljesítik ezeket a célokat?</t>
  </si>
  <si>
    <t>Van belsȍ ellenȍrzési rendszerük (pl. belsȍ Audit) amely magába foglajla a környezetvédelemet?</t>
  </si>
  <si>
    <t>Informálják illetve oktatják a vállalat alkamazotjait a környezetvédelmrȍl?</t>
  </si>
  <si>
    <t>Környezetreleváns folyamatok, hatások</t>
  </si>
  <si>
    <t>Meghatározzák illetve dokumentálják rendszerszinten a termékek illetve a gyártási folyamatok környezeti hatásait?</t>
  </si>
  <si>
    <t>Újrahasznosítható csomagolóanyagokat használnak? Az egyutas csomagolóanyagokat szelektíven gyűjtik újrahasznosításra?</t>
  </si>
  <si>
    <t>Szállításhoz használt jármüvek koromrészecske szűrȍvel vannak felszerelve amelyek így jobb környezetvédelmi besorolásba esnek (Európában EURO IV vagy jobb)?</t>
  </si>
  <si>
    <t>Együttműködnek az alvállalkozóikkal a környezetvédelem fejlesztésében?</t>
  </si>
  <si>
    <t xml:space="preserve">Munkahelyi Egészségvédelmi és Munkabiztonsági Irányítási Rendszer </t>
  </si>
  <si>
    <t>Amennyiben nincs tanúsítványuk, létezik Munkahelyi Egészségvédelmi és Munkabiztonsági Irányítási rendszerük  összhangban valamilyen követelményrendszerrel mint például OHSAS 18001, OHRIS vagy SCC?</t>
  </si>
  <si>
    <t>Van önöknél munkavédelmi felelȍs?</t>
  </si>
  <si>
    <t>Felülvizsgálják, értékelik, dokumentálják rendszeresen a munkahely egészségvédelmi és munkabiztonsági követelményeket? Megfelelnek a munkahelyi körülmények az egészségvédelmi és munkabiztonsági elȍírásoknak, szempontoknak?</t>
  </si>
  <si>
    <t>Biztosított, hogy betartják a KB biztonsági elȍírásokat a KB termékelőállítási  területen mind a saját, mind pedig a külsős cégek munkatársai?</t>
  </si>
  <si>
    <t>Van belsȍ ellenȍrzési rendszerük (pl. belsȍ Audit) amely magába foglajla a munkahelyi egészségvédelmet és biztonságot?</t>
  </si>
  <si>
    <t>Informálják illetve oktatják a vállalat alkamazotjait a munkahelyi egészségvédelem és biztonságról?</t>
  </si>
  <si>
    <t>F fejezet, Világegyezményi elvek</t>
  </si>
  <si>
    <t>Felelȍs viselkedés</t>
  </si>
  <si>
    <t>Világegyezményi elvek</t>
  </si>
  <si>
    <t>Elfogadják és magukévá teszik az Egyesült Nemzetek (UN) 10 világegyezményi elvét az emberi jogok, a munka, a környezet és az anti-korrupció területén?</t>
  </si>
  <si>
    <t xml:space="preserve">Van folyamat meghatározva a munkahelyi illetve a munkahelyre való felvétel során a bárminemű megkülönböztetés megakadályozására? </t>
  </si>
  <si>
    <t xml:space="preserve">Van folyamat meghatározva a kényszermunka illetve a gyermekmunka megakadályozására? </t>
  </si>
  <si>
    <t>Vannak olyan elȍírásaik amelyek kielégítö biztonságot nyújtanak a munka és egészségvédelem területén?</t>
  </si>
  <si>
    <t>Támogatják a környezetbarát termékek illetve szolgáltatások fejlesztését, terjesztését?</t>
  </si>
  <si>
    <t xml:space="preserve">Létezik a vállalton belül speciális mechanizmus a tisztességes üzleti tevékenység illetve erkölcsös viselkedés hatékony bevezetéséhez, megvalósításához? </t>
  </si>
  <si>
    <t>Alkalmaznak bármilyen írányelveket az alvállakozóknak a környezetvédelem, munkakörnyezet, etikai szabályok területén?</t>
  </si>
  <si>
    <t>Eredmény:</t>
  </si>
  <si>
    <t xml:space="preserve"> 90% - 100%, = A</t>
  </si>
  <si>
    <t>&lt;90% - 60%, = B</t>
  </si>
  <si>
    <t>&lt;60% , = C</t>
  </si>
  <si>
    <t>Vasút:</t>
  </si>
  <si>
    <t>Repülȍgép:</t>
  </si>
  <si>
    <t>Tehergépkocsi:</t>
  </si>
  <si>
    <t>Személygépkocsi:</t>
  </si>
  <si>
    <t>Gyógyászati:</t>
  </si>
  <si>
    <t>Obsoleszenz</t>
  </si>
  <si>
    <t>How does the organization establish a process to ensure, for the defined and agreed product life cycle, the availability of the supplied products and spare parts? (Obsoleszenz)</t>
  </si>
  <si>
    <t>Wie hat die Organisation einen Prozess etabliert um für die definierte und vereinbarte Lebensdauer die Verfügbarkeit der gelieferten Produkte und Ersatzteile sicherzustellen? (Obsoleszenz)</t>
  </si>
  <si>
    <t>Plant Manager Engineering</t>
  </si>
  <si>
    <t>Leiter Entwicklung</t>
  </si>
  <si>
    <t>Rusian</t>
  </si>
  <si>
    <t>Дата:</t>
  </si>
  <si>
    <t>Оценка</t>
  </si>
  <si>
    <t>Поставщик:</t>
  </si>
  <si>
    <t>Раздел А, Профиль компании</t>
  </si>
  <si>
    <t>Самооценка поставщика</t>
  </si>
  <si>
    <t>Наименование компании (включая юридическое)</t>
  </si>
  <si>
    <t>Заполнил:</t>
  </si>
  <si>
    <t>Адрес производства:</t>
  </si>
  <si>
    <t>Отдел:</t>
  </si>
  <si>
    <t>Почтовый индекс, город, штат:</t>
  </si>
  <si>
    <t>Телефон:</t>
  </si>
  <si>
    <t>Страна:</t>
  </si>
  <si>
    <t>Факс:</t>
  </si>
  <si>
    <t>Сайт в интернете:</t>
  </si>
  <si>
    <t>Адрес электронной почты:</t>
  </si>
  <si>
    <t>Номер DUNS:</t>
  </si>
  <si>
    <t>Номер поставщика Кнорр-Бремзе (если имеется):</t>
  </si>
  <si>
    <t>Направить по адресу (если отличатся от указанного выше)</t>
  </si>
  <si>
    <t>Наименование компании:</t>
  </si>
  <si>
    <t>Адрес:</t>
  </si>
  <si>
    <t>город, штат, почтовый индекс, страна:</t>
  </si>
  <si>
    <t>контактная информация:</t>
  </si>
  <si>
    <t>должность:</t>
  </si>
  <si>
    <t>Ф.И.О.</t>
  </si>
  <si>
    <t>номер прямого телефона:</t>
  </si>
  <si>
    <t>адрес электронной почты:</t>
  </si>
  <si>
    <t>Генеральный директор / Исполнительный директор</t>
  </si>
  <si>
    <t>Директор по продажам</t>
  </si>
  <si>
    <t>Управляющий по снабжению</t>
  </si>
  <si>
    <t>Управляющий производством</t>
  </si>
  <si>
    <t>Управляющий по инженирингу</t>
  </si>
  <si>
    <t>Управляющий по качеству</t>
  </si>
  <si>
    <t>Управляющий по экологии</t>
  </si>
  <si>
    <t>Ответственный за охрану труда</t>
  </si>
  <si>
    <t>Оборот / инвестиции компании (за последние 4 года)</t>
  </si>
  <si>
    <t>Количество служащих (за последние 3 года)</t>
  </si>
  <si>
    <t>год</t>
  </si>
  <si>
    <t>Объем продаж (в Евро)</t>
  </si>
  <si>
    <t>Инвестиции (в Евро)</t>
  </si>
  <si>
    <t>Регион</t>
  </si>
  <si>
    <t>Производство</t>
  </si>
  <si>
    <t>Закупки</t>
  </si>
  <si>
    <t>Качество</t>
  </si>
  <si>
    <t>Инжениринг</t>
  </si>
  <si>
    <t>Области промышленности с которыми рабатаете</t>
  </si>
  <si>
    <t>Основыне клиенты</t>
  </si>
  <si>
    <t>Железная дорога</t>
  </si>
  <si>
    <t>Аэрокосмическая</t>
  </si>
  <si>
    <t>Грузовые автомобили</t>
  </si>
  <si>
    <t>Автопром</t>
  </si>
  <si>
    <t>Медицина</t>
  </si>
  <si>
    <t>% продаж</t>
  </si>
  <si>
    <t>Запрашивающий покупатель</t>
  </si>
  <si>
    <t>Тип компонента планируемого к поставке</t>
  </si>
  <si>
    <t>Обеспечение рисков</t>
  </si>
  <si>
    <t>Текущее</t>
  </si>
  <si>
    <t>Если нет, то когда планируется</t>
  </si>
  <si>
    <t>Покрываемая сумма</t>
  </si>
  <si>
    <t xml:space="preserve">Да </t>
  </si>
  <si>
    <t>Нет</t>
  </si>
  <si>
    <t>Страхование рисков производства</t>
  </si>
  <si>
    <t>Отзыв страхования рисков</t>
  </si>
  <si>
    <t>Раздел Б, Финансы</t>
  </si>
  <si>
    <t>Счет(а) в банке - электронные платежи обязательны</t>
  </si>
  <si>
    <t>Название и адрес банка</t>
  </si>
  <si>
    <t>Счет №</t>
  </si>
  <si>
    <t>№ маршрута</t>
  </si>
  <si>
    <t>Кредитные поручители</t>
  </si>
  <si>
    <t>Имя поручителя</t>
  </si>
  <si>
    <t>Тип (Банк /Поставщик)</t>
  </si>
  <si>
    <t>Контактное лицо</t>
  </si>
  <si>
    <t>Контактный номер телефона</t>
  </si>
  <si>
    <t>Раздел В, Качество</t>
  </si>
  <si>
    <t>Сертификация по контролю качества, нормам безопасности и охране окружающей среды</t>
  </si>
  <si>
    <t xml:space="preserve">Просим отметить галочкой и приложить копию имеющихся у производства сертификатов </t>
  </si>
  <si>
    <t>Сертификат</t>
  </si>
  <si>
    <t>Дата сертификации / срок действия</t>
  </si>
  <si>
    <t>Сертификация - Организация</t>
  </si>
  <si>
    <t>Подтвердждение клиентов / Аудиты производства</t>
  </si>
  <si>
    <t>Наименование клиента</t>
  </si>
  <si>
    <t>Тип аудита</t>
  </si>
  <si>
    <t>Результат</t>
  </si>
  <si>
    <t>Управление качеством - Методы:</t>
  </si>
  <si>
    <t>методы</t>
  </si>
  <si>
    <t>полностью используется</t>
  </si>
  <si>
    <t>частично используется</t>
  </si>
  <si>
    <t>еще не используется</t>
  </si>
  <si>
    <t>используется с (дата)</t>
  </si>
  <si>
    <t>Инструменты и методики подробного решения проблем (3х5 Why, Ishikawa Diagram, и т.д.)</t>
  </si>
  <si>
    <t>Изучения процессов и потенциала оборудования</t>
  </si>
  <si>
    <t>Одобрение продукта согласно PPAP</t>
  </si>
  <si>
    <t>Одобрение продукта согласно VDA (PPF)</t>
  </si>
  <si>
    <t>Планирование качества продукта (APQP) / VDA</t>
  </si>
  <si>
    <t>Анализ отказов и их эффекта (FMEA), проектрирование и процесс</t>
  </si>
  <si>
    <t>Сигма 6</t>
  </si>
  <si>
    <t>Раздел Г, Оценка системы</t>
  </si>
  <si>
    <t>Самооценка поставщика или Оценка KB SQD?</t>
  </si>
  <si>
    <t>Самооценка</t>
  </si>
  <si>
    <t>Оценка KB SQD</t>
  </si>
  <si>
    <t>Комментарии (в случае ответов "&lt;2 или N/A")</t>
  </si>
  <si>
    <t>N/A = не применимо</t>
  </si>
  <si>
    <t>0 = требование не удовлетворяется</t>
  </si>
  <si>
    <t>1 = требование частично удовлетворяется</t>
  </si>
  <si>
    <t>2 = требование удовлетворяется</t>
  </si>
  <si>
    <t>Система управления качеством</t>
  </si>
  <si>
    <t>Есть ли у вас система контроля качества в соответствии с IRIS?</t>
  </si>
  <si>
    <t>Есть ли у вас инструкция по управлению качеством в которой описывается организация контроля качества, обязанности и ответственность, а также основные процессы и практики?</t>
  </si>
  <si>
    <t>Можете ли вы гарантировать, что технические нормы, стандарты и изменения, предложенные Кнорр-Бремзе, могут быть изучены, распространены и внедрены вовремя (в течение 14 дней)?</t>
  </si>
  <si>
    <t>Имеется ли система контроля документации?</t>
  </si>
  <si>
    <t>Храните ли вы документы с определенными требованиями по хранению (DmbA) не менее 15 лет после производства?</t>
  </si>
  <si>
    <t>Используете ли вы Международную систему данных о матриалах (IMDS - International Material Data System)?</t>
  </si>
  <si>
    <t>Ответственность руководства</t>
  </si>
  <si>
    <t>Имеются ли у вас цели по качеству, заданные руководством компании?</t>
  </si>
  <si>
    <t>Проводит ли руководство компании изучение Системы контроля качества через запланированные интервалы времени?</t>
  </si>
  <si>
    <t>Кадры</t>
  </si>
  <si>
    <t>Ведется ли запись всех типов обучения всего персонала?</t>
  </si>
  <si>
    <t>Проводится ли анализ необходимости обучения всего персонала на регулярной основе? Документируется ли это?</t>
  </si>
  <si>
    <t>Есть ли план обучения для всего персонала?</t>
  </si>
  <si>
    <t>Проводится ли анализ обучения на его эффективность?</t>
  </si>
  <si>
    <t>Проводится ли регулярная оценка знаний и мотивации персонала относительно важности и последствий их деятельности по выполнению требований заказчика?</t>
  </si>
  <si>
    <t>Инфросруктура</t>
  </si>
  <si>
    <t>Эсть ли у вас план действий по выполнению своих обязательств перед заказчиком в чрезвычайных ситуациях (таких как отсутствие подачи энергии, недостаток работников, потеря средств производства и рекламации при эксплуатации)?</t>
  </si>
  <si>
    <t>Все ли зоны и территории компании содержатся в чистоте и порядке?</t>
  </si>
  <si>
    <t>Все ли территории свободны от предметов непосредственно не связанных с производством работ?</t>
  </si>
  <si>
    <t>Организовано ли производство таким образом, чтобы минимизировать количество операций и перемещения материала?</t>
  </si>
  <si>
    <t>Планирование производства</t>
  </si>
  <si>
    <t>Можете ли вы гарантировать конфиденциальность продуктов, заказанных клиентом, развиваемых проектов и связанной с этими продуктами информации?</t>
  </si>
  <si>
    <t>Процессы, связанные с клиентами</t>
  </si>
  <si>
    <t>Есть ли у вас система управления и хранения документации, предоставленной клиентом?</t>
  </si>
  <si>
    <t>Документируется ли требования клиента в компании и распространяются ли они внутри компании?</t>
  </si>
  <si>
    <t>Есть ли у вас официальная система рассмотрения и принятия контрактов и заказов?</t>
  </si>
  <si>
    <t>Сможете ли вы обмениваться с Кнорр-Бремзе электронной информацией о Разработке, Контрактах-Датах, Отчетах, и т.д.?</t>
  </si>
  <si>
    <t>Разработка</t>
  </si>
  <si>
    <t>Располагаете ли вы достаточным количеством квалифицированных и компетентных ресурсов для разработки?</t>
  </si>
  <si>
    <t>Задаете ли вы для разработки каждого проекта цели по качеству, жизненному циклу, надежности, стойкости, сервисному обслуживанию, планированию времени и расходов? Контролируются ли эти параметры?</t>
  </si>
  <si>
    <t>Проводится ли анализ результатов разработки на различных ее  этапах? До того как эти результаты будут обработаны и предложены клиенту?</t>
  </si>
  <si>
    <t>Есть ли достаточно ресурсов для управления внесения изменений по желанию заказчика или инициированных вами?</t>
  </si>
  <si>
    <t>Проводится ли регулрный анализ качества работы ваших поставщиков?</t>
  </si>
  <si>
    <t>Определены ли критерии оценки поставщиков?</t>
  </si>
  <si>
    <t>Есть ли ц вас перечень утвержденных поставщиков?</t>
  </si>
  <si>
    <t>Проверяются ли закупленные продукты при их поступлении - в зоне инспекции или при ее сборке на наличие дефектов (Zero Defect)? Будут ли храниться отчеты о таких проверках не менее 5 лет (15 лет для специальных записей) после производства?</t>
  </si>
  <si>
    <t>Имеются ли и организованы склады?</t>
  </si>
  <si>
    <t>Определен ли процесс идентификации исходных материалов (сырья) и определения его применения?</t>
  </si>
  <si>
    <t>Хранится ли и обрабатывается сырье таким образом, чтобы избежать негативного влияния окружающей среды?</t>
  </si>
  <si>
    <t>Опеределены ли и отслеживаются материалы с ограниченным сроком хранения?</t>
  </si>
  <si>
    <t>Проводится ли карантин материалов до их испытания?</t>
  </si>
  <si>
    <t>Есть ли процедура идентификацииб отделения и утилизации материала от которого отказались?</t>
  </si>
  <si>
    <t xml:space="preserve">Есть ли срочные меры, мероприятия по изменению и улучшению, которые ваши поставщики должны провести в согласованные сроки? </t>
  </si>
  <si>
    <t>Как организован процесс обеспечения определенного и согласованного жизненного цикла, доступность поставляемых продуктов и запасных частей?</t>
  </si>
  <si>
    <t>Производство и обеспечение сервисного обслуживания</t>
  </si>
  <si>
    <t>Имеются ли задокументированные рабочие инструкции для производства?</t>
  </si>
  <si>
    <t>Собираются ли и записываются ли данные о процессе?</t>
  </si>
  <si>
    <t>Есть ли официальная процедура контроля "в процессе"?</t>
  </si>
  <si>
    <t>Контроль "в процессе" осуществляют операторы производства?</t>
  </si>
  <si>
    <t>Есть ли отчеты о всех проверках и хранятся ли они?</t>
  </si>
  <si>
    <t>Собираются и хранятся ли данные о партии / поставке?</t>
  </si>
  <si>
    <t>Можете ли вы поддерживать слежение за партиями / поставками всего производственного процесса, включая поставленные продукты?</t>
  </si>
  <si>
    <t>Идентифицируются ли и контролируются продукты между процессами?</t>
  </si>
  <si>
    <t>Идентифицируются ли и контролируются материалы для тестирования?</t>
  </si>
  <si>
    <t>Проверяется ли и отслеживается ли процесс упаковки и маркировки поставок?</t>
  </si>
  <si>
    <t>Можете ли вы отделить и идентифицировать ваши материалы и продукты по серийному номеру, заказу и клиенту?</t>
  </si>
  <si>
    <t>Существует ли система текущего сервисного обслуживания основного производственного оборудования, санков, инструментов и приборов?</t>
  </si>
  <si>
    <t>Проводится ли сервисное обслуживание в соответствии планом-графиком?</t>
  </si>
  <si>
    <t>Определена ли ответственность по сервису и сервисному обслуживанию?</t>
  </si>
  <si>
    <t>Учитываете ли вы весь жизненный цикл средств производства?</t>
  </si>
  <si>
    <t>Контроль измерительных приборов</t>
  </si>
  <si>
    <t>Есть ли процесс выбора, использования, применения и контроля инструмента и оборудования, используемого для инспекции, испытания и мониторинга?</t>
  </si>
  <si>
    <t>Проводится ли регулярная калибровка инспекционного и измерительного оборудования (используемого для мониторинга продукции и производства)?</t>
  </si>
  <si>
    <t>Хранятся ли отчеты о калибровке?</t>
  </si>
  <si>
    <t>Калибруется ли испытательное и измерительное оборудование под контролем?</t>
  </si>
  <si>
    <t>Проводилась ли оценка возможностей измерительного и испытательного оборудования?</t>
  </si>
  <si>
    <t>Измерения, анализ и совершенствование</t>
  </si>
  <si>
    <t>Известны ли и используются ли в организации различные статистические методы?</t>
  </si>
  <si>
    <t>Используется ли Статистический контроль процесса (SPC (Satistical Process Control)?</t>
  </si>
  <si>
    <t>Применяются ли меры по совершенствованию и исправлению, возникшие в результате статистического анализа изученных данных и эффективности?</t>
  </si>
  <si>
    <t>Используются ли в процессе действий по исправлению методы касающиеся защиты от ошибок?</t>
  </si>
  <si>
    <t>Проводится ли изучение возможностей?</t>
  </si>
  <si>
    <t>Можете ли вы рассчитать следующие возможности: pp / ppk / cp / cpk?</t>
  </si>
  <si>
    <t>Мониторинг и измерения</t>
  </si>
  <si>
    <t>Проводител и вы регулярно внутренние аудиты, как минимум, ежегодно, во всех функциональных областях или для каждого процесса?</t>
  </si>
  <si>
    <t>Проводители ли вы регулярные аудиты продуктов или процессов с привлечением квалифицированных аудиторов?</t>
  </si>
  <si>
    <t>Существует ли план аудитов и выполнятеся ли он?</t>
  </si>
  <si>
    <t>Документируются ли результаты аудитов и доводятся ли они до ответсвенных лиц?</t>
  </si>
  <si>
    <t>Определены ли следующие понятия для всех испытаний: технология измерения, частота отбора проб, критерии премлемости, планы по реагированию, если не выполнены критерии приемлемости?</t>
  </si>
  <si>
    <t>Все ли продукты прошли квалификацию с полным измерением и функциональными испытаниями? Имеются ли отчеты?</t>
  </si>
  <si>
    <t>Выполнены ли мероприятия по исправлению в течение 30 дней и проведена ли оценка эффективности этих мероприятий?</t>
  </si>
  <si>
    <t>Контроль некондиционной продукции</t>
  </si>
  <si>
    <t>Обеспечено ли то, что некондиционный продукт будет обнаружен и будет не возможна поставка его клиенту?</t>
  </si>
  <si>
    <t>Обеспечено ли то, что некондиционный продукт не может быть поставлен клиенту без его разрешения?</t>
  </si>
  <si>
    <t>Существует ли система работы с жалобами клиента?</t>
  </si>
  <si>
    <t>Существует ли активная система обратной связи относительно деятельности по исправлению недостатков и совершенствованию продуктов - т.е.отчеты 8-Д?</t>
  </si>
  <si>
    <t>Анализ данных</t>
  </si>
  <si>
    <t>Проводится ли регулярный анализ данных для сравнения тенденций качества и производительности с безнес планом?</t>
  </si>
  <si>
    <t>Совершенствование</t>
  </si>
  <si>
    <t>Стремится ли компания постоянно совершенствоваться в области качества, расходов и эффективности?</t>
  </si>
  <si>
    <t>Проводится ли такая деятельность во всех областях компании?</t>
  </si>
  <si>
    <t>Документированы ли меры по совершенствованию и указаны ли там ответственные лица?</t>
  </si>
  <si>
    <t>Существует ли план своевременного внедрения изменений в продукт?</t>
  </si>
  <si>
    <t>Используются ли методы структурированного решения проблем?</t>
  </si>
  <si>
    <t>Раздел Д, Охрана труда и окружающей среды</t>
  </si>
  <si>
    <t>Информация об охране окружающей среды в компании</t>
  </si>
  <si>
    <t>Если нет сертификатов, то существует ли какая-либо система охраны окружающей среды, соответствующая признанным стандартам (EMAS, европейская норма 1221/2009), ISO 14001 или BS 7750?</t>
  </si>
  <si>
    <t>Есть ли в компании структура отвечающая за вопросы охраны окружающей среды?</t>
  </si>
  <si>
    <t>Проводится ли систематическая проверка соответствия законам об охране окружающей среды? Оценивается ли их выполнение? Документируется ли это?</t>
  </si>
  <si>
    <t>Определены ли цели по обеспечению охраны окружающей среды? Могут ли эти цели быть полностью подтверждены?</t>
  </si>
  <si>
    <t>Существует ли внутренняя система контроля (аудит) касающаяся вопросов защиты окружающей среды?</t>
  </si>
  <si>
    <t>Производится ли регулярное информирование и инструктирование рабочих относительно охраны окружающей среды?</t>
  </si>
  <si>
    <t>Процессы, связанные с окружающей средой, последствия для окружающей среды</t>
  </si>
  <si>
    <t>Проводится ли систематическое определение и документирование воздействия на окружающую среду продуктов и производственного процесса?</t>
  </si>
  <si>
    <t>Используется ли упаковка, предназначенная для повторного использования? Утилизируется ли полученная упаковка?</t>
  </si>
  <si>
    <t>При транспртировке товарав, используются ли автомобили оборудованные фильтрами, соотвтетсвующими требованиям стандарта EURO IV или выше?</t>
  </si>
  <si>
    <t>Работаете ли вы над улучшением условий защиты окружающей среды с вашими поставщиками и смежниками?</t>
  </si>
  <si>
    <t>Информация об охране труда в компании</t>
  </si>
  <si>
    <t>Если нет сертификатов, то существует ли какая-либо система охраны труда, отвечающая признанным стандартам, OHSAS 18001, OHRIS или SCC?</t>
  </si>
  <si>
    <t>Есть ли в вашей компании структура отвечающая за охрану труда работников?</t>
  </si>
  <si>
    <t>Проводится ли систематическое определение и документирование соответствия требованиям охраны труда и обеспечение мер безопасности работников? Соответствуют ли рабочие места общим требованиям эргономики и охраны труда?</t>
  </si>
  <si>
    <t>Может быть гарантировано, что при входе или работе в рабочих зонах Кнорр-Бремзе будут соблюдаться требования безопасности? Такие как "Основные положения по технике безопасности" (Safety Guidelines) и "Меры безопасности для подрядчиков" (Safety rules for contractors).</t>
  </si>
  <si>
    <t>Существует ли внутренняя система контроля (аудит) касающаяся вопросов охраны труда, а также порядка и чистоты?</t>
  </si>
  <si>
    <t>Проводится ли регулярное информирование и обучение персонала по вопросам охраны труда?</t>
  </si>
  <si>
    <t>Раздел Е, Глобальные приципы</t>
  </si>
  <si>
    <t>ОТВЕТСТВЕННОЕ ПОВЕДЕНИЕ КОМПАНИИ</t>
  </si>
  <si>
    <t>Информация о Глобальных приципах</t>
  </si>
  <si>
    <t>Можете ли вы подтвердить соответствие 10 глобальным принципам ООН о правах человкеа, труде, экологии и антикоррупции?</t>
  </si>
  <si>
    <t>Существует ли процесс обеспечения адекватных шагов против всех форм дискриминации, как на рабочем месте, так и в процессе набора персонала?</t>
  </si>
  <si>
    <t>Существует ли процесс обеспечения адекватных шагов против всех форм принудительного или обязательного труда, а также детского труда?</t>
  </si>
  <si>
    <t>Располагает ли ваша компания мероприятиями по охране труда и здоровья, которые обеспечивают достаточную защиту сотрудников?</t>
  </si>
  <si>
    <t>Поддерживает ли ваша компания разработку и распространение продуктов и технологий, дружественных для окружающей среды.</t>
  </si>
  <si>
    <t>Располагает ли ваша компания специфическим механизмом для обеспечения ведения честного бизнеса и этики поведения (т.е. соответствие, антикоррупция, конфликт интересов)?</t>
  </si>
  <si>
    <t>Разрабатывали ли вы инструкции для ваших поставщиков, включая, но не ограничиваясь, соответстве экологии, этическим приципам и условиям труда?</t>
  </si>
  <si>
    <t>German</t>
  </si>
  <si>
    <t>Status: Rev 05</t>
  </si>
  <si>
    <t>15.</t>
  </si>
  <si>
    <t>Produktionsort (falls von obiger Anschrift abweichend)</t>
  </si>
  <si>
    <t>Production plant (If different from above)</t>
  </si>
  <si>
    <t>Achten alle Unternehmensbereiche auf Ordnung und Sauberkeit?</t>
  </si>
  <si>
    <t>Haben Sie ein System zur Dokumentenlenkung eingerichtet?</t>
  </si>
  <si>
    <t>Führen Sie Aufzeichnungen zu den von den Mitarbeitern absolvierten Schulungsmaßnahmen?</t>
  </si>
  <si>
    <t>Überprüfen Sie die Konstruktionsergebnisse in den unterschiedlichen Entwicklungsstadien, bevor Sie die Ergebnisse weiterverarbeiten und dem Kunden mitteilen?</t>
  </si>
  <si>
    <t>Verfügen Sie über kompetente  ausreichend qualifizierte Ressourcen im Entwicklungsbereich?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</si>
</sst>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General_)"/>
  </numFmts>
  <fonts count="24" x14ac:knownFonts="1">
    <font>
      <sz val="10"/>
      <name val="Arial"/>
      <family val="2"/>
    </font>
    <font>
      <sz val="10"/>
      <name val="Arial"/>
      <family val="2"/>
    </font>
    <font>
      <b/>
      <sz val="24"/>
      <name val="Arial"/>
      <family val="2"/>
    </font>
    <font>
      <sz val="12"/>
      <name val="Arial"/>
      <family val="2"/>
    </font>
    <font>
      <sz val="14"/>
      <name val="Arial"/>
      <family val="2"/>
    </font>
    <font>
      <b/>
      <sz val="12"/>
      <name val="Arial"/>
      <family val="2"/>
    </font>
    <font>
      <b/>
      <u/>
      <sz val="14"/>
      <name val="Arial"/>
      <family val="2"/>
    </font>
    <font>
      <i/>
      <sz val="9"/>
      <name val="Arial"/>
      <family val="2"/>
    </font>
    <font>
      <i/>
      <sz val="10"/>
      <name val="Arial"/>
      <family val="2"/>
    </font>
    <font>
      <sz val="9"/>
      <name val="Arial"/>
      <family val="2"/>
    </font>
    <font>
      <sz val="8"/>
      <name val="Arial"/>
      <family val="2"/>
    </font>
    <font>
      <sz val="12"/>
      <name val="Arial"/>
      <family val="2"/>
    </font>
    <font>
      <sz val="10"/>
      <color indexed="9"/>
      <name val="Arial"/>
      <family val="2"/>
    </font>
    <font>
      <b/>
      <sz val="14"/>
      <name val="Arial"/>
      <family val="2"/>
    </font>
    <font>
      <sz val="10"/>
      <color indexed="10"/>
      <name val="Arial"/>
      <family val="2"/>
    </font>
    <font>
      <b/>
      <sz val="10"/>
      <name val="Arial"/>
      <family val="2"/>
    </font>
    <font>
      <sz val="10"/>
      <name val="Arial"/>
      <family val="2"/>
    </font>
    <font>
      <sz val="22"/>
      <name val="Arial"/>
      <family val="2"/>
    </font>
    <font>
      <sz val="2"/>
      <color indexed="9"/>
      <name val="Arial"/>
      <family val="2"/>
    </font>
    <font>
      <b/>
      <sz val="10"/>
      <color indexed="10"/>
      <name val="Arial"/>
      <family val="2"/>
    </font>
    <font>
      <b/>
      <sz val="22"/>
      <name val="Arial"/>
      <family val="2"/>
    </font>
    <font>
      <sz val="7"/>
      <name val="Arial"/>
      <family val="2"/>
    </font>
    <font>
      <i/>
      <sz val="10"/>
      <name val="Arial"/>
      <family val="2"/>
      <charset val="204"/>
    </font>
    <font>
      <sz val="16"/>
      <color rgb="FFFF0000"/>
      <name val="Arial"/>
      <family val="2"/>
    </font>
  </fonts>
  <fills count="1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indexed="13"/>
        <bgColor indexed="64"/>
      </patternFill>
    </fill>
    <fill>
      <patternFill patternType="solid">
        <fgColor indexed="50"/>
        <bgColor indexed="64"/>
      </patternFill>
    </fill>
    <fill>
      <patternFill patternType="solid">
        <fgColor indexed="55"/>
        <bgColor indexed="64"/>
      </patternFill>
    </fill>
    <fill>
      <patternFill patternType="solid">
        <fgColor theme="0" tint="-0.249977111117893"/>
        <bgColor indexed="64"/>
      </patternFill>
    </fill>
    <fill>
      <patternFill patternType="solid">
        <fgColor rgb="FFFFFF00"/>
        <bgColor indexed="64"/>
      </patternFill>
    </fill>
    <fill>
      <patternFill patternType="solid">
        <fgColor rgb="FF99CC00"/>
        <bgColor indexed="64"/>
      </patternFill>
    </fill>
    <fill>
      <patternFill patternType="solid">
        <fgColor rgb="FF92D050"/>
        <bgColor indexed="64"/>
      </patternFill>
    </fill>
  </fills>
  <borders count="32">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s>
  <cellStyleXfs count="2">
    <xf numFmtId="0" fontId="0" fillId="0" borderId="0"/>
    <xf numFmtId="9" fontId="1" fillId="0" borderId="0" applyFont="0" applyFill="0" applyBorder="0" applyAlignment="0" applyProtection="0"/>
  </cellStyleXfs>
  <cellXfs count="410">
    <xf numFmtId="0" fontId="0" fillId="0" borderId="0" xfId="0"/>
    <xf numFmtId="164" fontId="2" fillId="0" borderId="0" xfId="0" applyNumberFormat="1" applyFont="1" applyBorder="1" applyAlignment="1" applyProtection="1">
      <alignment horizontal="left"/>
    </xf>
    <xf numFmtId="0" fontId="3" fillId="0" borderId="0" xfId="0" applyFont="1" applyBorder="1"/>
    <xf numFmtId="0" fontId="0" fillId="0" borderId="0" xfId="0" applyBorder="1"/>
    <xf numFmtId="0" fontId="0" fillId="0" borderId="1" xfId="0" applyBorder="1"/>
    <xf numFmtId="0" fontId="3" fillId="0" borderId="1" xfId="0" applyFont="1" applyBorder="1"/>
    <xf numFmtId="0" fontId="0" fillId="0" borderId="2" xfId="0" applyBorder="1"/>
    <xf numFmtId="0" fontId="0" fillId="0" borderId="3" xfId="0" applyBorder="1"/>
    <xf numFmtId="0" fontId="0" fillId="0" borderId="4" xfId="0" applyBorder="1"/>
    <xf numFmtId="0" fontId="0" fillId="0" borderId="5" xfId="0" applyBorder="1"/>
    <xf numFmtId="164" fontId="2" fillId="0" borderId="6" xfId="0" applyNumberFormat="1" applyFont="1" applyBorder="1" applyAlignment="1" applyProtection="1">
      <alignment horizontal="left"/>
    </xf>
    <xf numFmtId="0" fontId="3" fillId="0" borderId="6" xfId="0" applyFont="1" applyBorder="1"/>
    <xf numFmtId="0" fontId="3" fillId="0" borderId="7" xfId="0" applyFont="1" applyBorder="1"/>
    <xf numFmtId="0" fontId="11" fillId="0" borderId="1" xfId="0" applyFont="1" applyBorder="1" applyAlignment="1">
      <alignment horizontal="center" vertical="center"/>
    </xf>
    <xf numFmtId="0" fontId="14" fillId="0" borderId="0" xfId="0" applyFont="1"/>
    <xf numFmtId="0" fontId="0" fillId="2" borderId="8" xfId="0" applyFill="1" applyBorder="1"/>
    <xf numFmtId="0" fontId="12" fillId="0" borderId="0" xfId="0" applyFont="1"/>
    <xf numFmtId="0" fontId="0" fillId="0" borderId="0" xfId="0" applyFill="1" applyBorder="1"/>
    <xf numFmtId="0" fontId="12" fillId="0" borderId="0" xfId="0" applyFont="1" applyAlignment="1">
      <alignment horizontal="center"/>
    </xf>
    <xf numFmtId="0" fontId="15" fillId="2" borderId="0" xfId="0" applyFont="1" applyFill="1" applyBorder="1" applyAlignment="1" applyProtection="1">
      <alignment horizontal="left" vertical="center"/>
      <protection hidden="1"/>
    </xf>
    <xf numFmtId="0" fontId="14" fillId="3" borderId="0" xfId="0" applyFont="1" applyFill="1" applyAlignment="1">
      <alignment horizontal="center"/>
    </xf>
    <xf numFmtId="0" fontId="14" fillId="3" borderId="0" xfId="0" applyFont="1" applyFill="1"/>
    <xf numFmtId="0" fontId="14" fillId="3" borderId="0" xfId="0" applyFont="1" applyFill="1" applyBorder="1" applyAlignment="1" applyProtection="1">
      <alignment horizontal="center"/>
      <protection hidden="1"/>
    </xf>
    <xf numFmtId="0" fontId="14" fillId="3" borderId="0" xfId="0" applyFont="1" applyFill="1" applyBorder="1" applyProtection="1">
      <protection hidden="1"/>
    </xf>
    <xf numFmtId="1" fontId="14" fillId="3" borderId="0" xfId="0" applyNumberFormat="1" applyFont="1" applyFill="1" applyBorder="1" applyAlignment="1" applyProtection="1">
      <alignment horizontal="center"/>
      <protection hidden="1"/>
    </xf>
    <xf numFmtId="9" fontId="14" fillId="3" borderId="0" xfId="0" applyNumberFormat="1" applyFont="1" applyFill="1" applyBorder="1" applyAlignment="1" applyProtection="1">
      <alignment horizontal="center"/>
      <protection hidden="1"/>
    </xf>
    <xf numFmtId="0" fontId="14" fillId="3" borderId="0" xfId="0" quotePrefix="1" applyFont="1" applyFill="1" applyBorder="1" applyAlignment="1" applyProtection="1">
      <alignment horizontal="center"/>
      <protection hidden="1"/>
    </xf>
    <xf numFmtId="0" fontId="14" fillId="0" borderId="0" xfId="0" applyFont="1" applyAlignment="1" applyProtection="1">
      <alignment horizontal="left" vertical="top" wrapText="1"/>
      <protection locked="0"/>
    </xf>
    <xf numFmtId="0" fontId="0" fillId="0" borderId="0" xfId="0" applyAlignment="1" applyProtection="1">
      <alignment horizontal="left" vertical="top" wrapText="1"/>
      <protection locked="0"/>
    </xf>
    <xf numFmtId="0" fontId="1" fillId="0" borderId="6" xfId="0" applyFont="1" applyBorder="1" applyProtection="1">
      <protection hidden="1"/>
    </xf>
    <xf numFmtId="0" fontId="15" fillId="0" borderId="0" xfId="0" applyFont="1" applyBorder="1"/>
    <xf numFmtId="0" fontId="15" fillId="0" borderId="0" xfId="0" applyFont="1"/>
    <xf numFmtId="0" fontId="0" fillId="0" borderId="9" xfId="0" applyBorder="1"/>
    <xf numFmtId="0" fontId="0" fillId="4" borderId="10" xfId="0" applyFill="1" applyBorder="1" applyAlignment="1">
      <alignment horizontal="center"/>
    </xf>
    <xf numFmtId="0" fontId="0" fillId="0" borderId="11" xfId="0" applyBorder="1"/>
    <xf numFmtId="0" fontId="0" fillId="0" borderId="11" xfId="0" applyFill="1" applyBorder="1"/>
    <xf numFmtId="0" fontId="0" fillId="0" borderId="0" xfId="0" applyBorder="1" applyAlignment="1">
      <alignment vertical="top" wrapText="1"/>
    </xf>
    <xf numFmtId="0" fontId="0" fillId="0" borderId="12" xfId="0" applyBorder="1"/>
    <xf numFmtId="0" fontId="0" fillId="3" borderId="0" xfId="0" applyFill="1"/>
    <xf numFmtId="9" fontId="0" fillId="0" borderId="0" xfId="1" applyFont="1" applyBorder="1" applyAlignment="1">
      <alignment vertical="top" wrapText="1"/>
    </xf>
    <xf numFmtId="0" fontId="16" fillId="0" borderId="0" xfId="0" applyFont="1" applyBorder="1" applyAlignment="1">
      <alignment vertical="top" wrapText="1"/>
    </xf>
    <xf numFmtId="0" fontId="5" fillId="0" borderId="0" xfId="0" applyFont="1" applyBorder="1"/>
    <xf numFmtId="0" fontId="5" fillId="0" borderId="0" xfId="0" applyFont="1"/>
    <xf numFmtId="0" fontId="5" fillId="0" borderId="0" xfId="0" applyFont="1" applyFill="1" applyBorder="1"/>
    <xf numFmtId="0" fontId="15" fillId="0" borderId="8" xfId="0" applyFont="1" applyBorder="1"/>
    <xf numFmtId="0" fontId="15" fillId="0" borderId="8" xfId="0" applyFont="1" applyFill="1" applyBorder="1"/>
    <xf numFmtId="0" fontId="15" fillId="0" borderId="13" xfId="0" applyFont="1" applyBorder="1"/>
    <xf numFmtId="0" fontId="0" fillId="0" borderId="14" xfId="0" applyFill="1" applyBorder="1" applyAlignment="1">
      <alignment wrapText="1"/>
    </xf>
    <xf numFmtId="0" fontId="15" fillId="0" borderId="0" xfId="0" applyFont="1" applyFill="1" applyBorder="1" applyAlignment="1">
      <alignment wrapText="1"/>
    </xf>
    <xf numFmtId="0" fontId="0" fillId="0" borderId="0" xfId="0" applyBorder="1" applyAlignment="1">
      <alignment horizontal="center" vertical="center"/>
    </xf>
    <xf numFmtId="0" fontId="0" fillId="0" borderId="1" xfId="0" applyBorder="1" applyAlignment="1">
      <alignment horizontal="center" vertical="center"/>
    </xf>
    <xf numFmtId="0" fontId="8" fillId="0" borderId="0" xfId="0" applyFont="1" applyFill="1" applyBorder="1"/>
    <xf numFmtId="1" fontId="8" fillId="0" borderId="0" xfId="0" applyNumberFormat="1" applyFont="1" applyFill="1" applyBorder="1" applyAlignment="1">
      <alignment vertical="center" wrapText="1"/>
    </xf>
    <xf numFmtId="0" fontId="15" fillId="0" borderId="0" xfId="0" applyFont="1" applyFill="1" applyBorder="1" applyAlignment="1" applyProtection="1">
      <alignment vertical="center"/>
      <protection locked="0" hidden="1"/>
    </xf>
    <xf numFmtId="0" fontId="17" fillId="0" borderId="0" xfId="0" applyFont="1" applyFill="1" applyBorder="1" applyAlignment="1" applyProtection="1">
      <alignment vertical="center"/>
      <protection hidden="1"/>
    </xf>
    <xf numFmtId="164" fontId="8" fillId="0" borderId="0" xfId="0" applyNumberFormat="1" applyFont="1" applyBorder="1" applyProtection="1">
      <protection hidden="1"/>
    </xf>
    <xf numFmtId="164" fontId="13" fillId="2" borderId="1" xfId="0" applyNumberFormat="1" applyFont="1" applyFill="1" applyBorder="1" applyAlignment="1" applyProtection="1">
      <alignment horizontal="left"/>
      <protection hidden="1"/>
    </xf>
    <xf numFmtId="0" fontId="15" fillId="2" borderId="0" xfId="0" applyFont="1" applyFill="1" applyBorder="1" applyProtection="1">
      <protection hidden="1"/>
    </xf>
    <xf numFmtId="0" fontId="0" fillId="2" borderId="11" xfId="0" applyFill="1" applyBorder="1" applyProtection="1">
      <protection hidden="1"/>
    </xf>
    <xf numFmtId="0" fontId="5" fillId="0" borderId="0" xfId="0" applyFont="1" applyBorder="1" applyAlignment="1">
      <alignment horizontal="center"/>
    </xf>
    <xf numFmtId="49" fontId="5" fillId="0" borderId="0" xfId="0" applyNumberFormat="1" applyFont="1" applyBorder="1" applyAlignment="1">
      <alignment horizontal="center"/>
    </xf>
    <xf numFmtId="0" fontId="16" fillId="2" borderId="11" xfId="0" applyFont="1" applyFill="1" applyBorder="1" applyProtection="1">
      <protection hidden="1"/>
    </xf>
    <xf numFmtId="0" fontId="10" fillId="0" borderId="2" xfId="0" applyFont="1" applyBorder="1" applyAlignment="1">
      <alignment horizontal="center" vertical="center" wrapText="1"/>
    </xf>
    <xf numFmtId="164" fontId="8" fillId="0" borderId="1" xfId="0" applyNumberFormat="1" applyFont="1" applyBorder="1" applyProtection="1">
      <protection hidden="1"/>
    </xf>
    <xf numFmtId="0" fontId="10" fillId="0" borderId="3" xfId="0" applyFont="1" applyBorder="1" applyAlignment="1">
      <alignment horizontal="center" vertical="center" wrapText="1"/>
    </xf>
    <xf numFmtId="0" fontId="0" fillId="0" borderId="0" xfId="0" applyAlignment="1">
      <alignment wrapText="1"/>
    </xf>
    <xf numFmtId="164" fontId="3" fillId="0" borderId="1" xfId="0" applyNumberFormat="1" applyFont="1" applyBorder="1" applyAlignment="1" applyProtection="1">
      <alignment horizontal="left" vertical="top" wrapText="1"/>
      <protection hidden="1"/>
    </xf>
    <xf numFmtId="0" fontId="0" fillId="0" borderId="1" xfId="0" applyBorder="1" applyAlignment="1">
      <alignment wrapText="1"/>
    </xf>
    <xf numFmtId="0" fontId="0" fillId="0" borderId="3" xfId="0" applyBorder="1" applyAlignment="1">
      <alignment wrapText="1"/>
    </xf>
    <xf numFmtId="0" fontId="5" fillId="0" borderId="15" xfId="0" applyFont="1" applyBorder="1" applyAlignment="1" applyProtection="1">
      <alignment horizontal="center" vertical="center"/>
      <protection locked="0"/>
    </xf>
    <xf numFmtId="0" fontId="0" fillId="0" borderId="1" xfId="0" applyBorder="1" applyAlignment="1">
      <alignment vertical="top" wrapText="1"/>
    </xf>
    <xf numFmtId="2" fontId="16" fillId="0" borderId="0" xfId="0" applyNumberFormat="1" applyFont="1" applyBorder="1" applyAlignment="1">
      <alignment wrapText="1"/>
    </xf>
    <xf numFmtId="0" fontId="10" fillId="0" borderId="16" xfId="0" applyFont="1" applyBorder="1" applyAlignment="1">
      <alignment horizontal="center" vertical="center" wrapText="1"/>
    </xf>
    <xf numFmtId="0" fontId="16" fillId="0" borderId="6" xfId="0" applyFont="1" applyFill="1" applyBorder="1" applyProtection="1">
      <protection hidden="1"/>
    </xf>
    <xf numFmtId="164" fontId="3" fillId="0" borderId="2" xfId="0" applyNumberFormat="1" applyFont="1" applyBorder="1" applyAlignment="1" applyProtection="1">
      <alignment horizontal="left" vertical="top" wrapText="1"/>
      <protection hidden="1"/>
    </xf>
    <xf numFmtId="164" fontId="3" fillId="0" borderId="2" xfId="0" applyNumberFormat="1" applyFont="1" applyBorder="1" applyAlignment="1" applyProtection="1">
      <alignment horizontal="left" wrapText="1"/>
      <protection hidden="1"/>
    </xf>
    <xf numFmtId="164" fontId="15" fillId="0" borderId="4" xfId="0" applyNumberFormat="1" applyFont="1" applyBorder="1" applyAlignment="1" applyProtection="1">
      <alignment horizontal="right" vertical="center"/>
    </xf>
    <xf numFmtId="0" fontId="0" fillId="0" borderId="0" xfId="0" applyBorder="1" applyAlignment="1">
      <alignment horizontal="center"/>
    </xf>
    <xf numFmtId="14" fontId="0" fillId="0" borderId="0" xfId="0" applyNumberFormat="1" applyBorder="1" applyAlignment="1">
      <alignment horizontal="center" vertical="center"/>
    </xf>
    <xf numFmtId="164" fontId="3" fillId="0" borderId="0" xfId="0" applyNumberFormat="1" applyFont="1" applyBorder="1" applyAlignment="1" applyProtection="1"/>
    <xf numFmtId="164" fontId="3" fillId="0" borderId="0" xfId="0" applyNumberFormat="1" applyFont="1" applyBorder="1" applyProtection="1"/>
    <xf numFmtId="164" fontId="3" fillId="0" borderId="1" xfId="0" applyNumberFormat="1" applyFont="1" applyBorder="1" applyProtection="1"/>
    <xf numFmtId="0" fontId="0" fillId="0" borderId="1" xfId="0" applyBorder="1" applyAlignment="1" applyProtection="1">
      <alignment vertical="center"/>
      <protection hidden="1"/>
    </xf>
    <xf numFmtId="164" fontId="3" fillId="0" borderId="3" xfId="0" applyNumberFormat="1" applyFont="1" applyBorder="1" applyAlignment="1" applyProtection="1">
      <alignment horizontal="left" vertical="top" wrapText="1"/>
      <protection hidden="1"/>
    </xf>
    <xf numFmtId="164" fontId="8" fillId="0" borderId="1" xfId="0" applyNumberFormat="1" applyFont="1" applyBorder="1" applyAlignment="1" applyProtection="1">
      <alignment horizontal="left" vertical="top" wrapText="1"/>
      <protection hidden="1"/>
    </xf>
    <xf numFmtId="164" fontId="8" fillId="0" borderId="3" xfId="0" applyNumberFormat="1" applyFont="1" applyBorder="1" applyAlignment="1" applyProtection="1">
      <alignment horizontal="left" vertical="top" wrapText="1"/>
      <protection hidden="1"/>
    </xf>
    <xf numFmtId="0" fontId="10" fillId="0" borderId="3" xfId="0" applyFont="1" applyBorder="1" applyAlignment="1">
      <alignment vertical="center" wrapText="1"/>
    </xf>
    <xf numFmtId="0" fontId="0" fillId="0" borderId="0" xfId="0" applyFill="1" applyBorder="1" applyAlignment="1">
      <alignment vertical="top" wrapText="1"/>
    </xf>
    <xf numFmtId="0" fontId="0" fillId="0" borderId="6" xfId="0" applyBorder="1" applyProtection="1">
      <protection hidden="1"/>
    </xf>
    <xf numFmtId="0" fontId="1" fillId="0" borderId="6" xfId="0" applyFont="1" applyFill="1" applyBorder="1" applyProtection="1">
      <protection hidden="1"/>
    </xf>
    <xf numFmtId="0" fontId="0" fillId="2" borderId="0" xfId="0" applyFill="1"/>
    <xf numFmtId="0" fontId="0" fillId="0" borderId="0" xfId="0" applyFont="1" applyFill="1" applyBorder="1"/>
    <xf numFmtId="0" fontId="0" fillId="0" borderId="0" xfId="0" applyFont="1" applyAlignment="1">
      <alignment vertical="center"/>
    </xf>
    <xf numFmtId="0" fontId="0" fillId="0" borderId="11" xfId="0" applyFont="1" applyFill="1" applyBorder="1"/>
    <xf numFmtId="0" fontId="0" fillId="0" borderId="0" xfId="0" applyFont="1" applyFill="1" applyBorder="1" applyAlignment="1">
      <alignment vertical="top" wrapText="1"/>
    </xf>
    <xf numFmtId="0" fontId="0" fillId="0" borderId="0" xfId="0" applyFill="1" applyBorder="1" applyAlignment="1">
      <alignment wrapText="1"/>
    </xf>
    <xf numFmtId="0" fontId="0" fillId="5" borderId="0" xfId="0" applyFill="1" applyBorder="1" applyAlignment="1">
      <alignment vertical="top" wrapText="1"/>
    </xf>
    <xf numFmtId="0" fontId="0" fillId="5" borderId="0" xfId="0" applyFill="1" applyBorder="1"/>
    <xf numFmtId="0" fontId="0" fillId="6" borderId="0" xfId="0" applyFill="1" applyBorder="1" applyAlignment="1">
      <alignment vertical="top" wrapText="1"/>
    </xf>
    <xf numFmtId="0" fontId="8" fillId="0" borderId="0" xfId="0" applyFont="1" applyFill="1" applyBorder="1" applyAlignment="1">
      <alignment wrapText="1"/>
    </xf>
    <xf numFmtId="0" fontId="16" fillId="2" borderId="17" xfId="0" applyFont="1" applyFill="1" applyBorder="1" applyProtection="1">
      <protection hidden="1"/>
    </xf>
    <xf numFmtId="0" fontId="0" fillId="0" borderId="4" xfId="0" applyBorder="1" applyProtection="1">
      <protection hidden="1"/>
    </xf>
    <xf numFmtId="164" fontId="13" fillId="0" borderId="0" xfId="0" applyNumberFormat="1" applyFont="1" applyBorder="1" applyProtection="1"/>
    <xf numFmtId="0" fontId="13" fillId="0" borderId="6" xfId="0" applyFont="1" applyFill="1" applyBorder="1" applyAlignment="1" applyProtection="1">
      <alignment vertical="center"/>
      <protection hidden="1"/>
    </xf>
    <xf numFmtId="0" fontId="0" fillId="0" borderId="1" xfId="0" applyBorder="1" applyAlignment="1"/>
    <xf numFmtId="0" fontId="3" fillId="0" borderId="7" xfId="0" applyFont="1" applyBorder="1" applyAlignment="1" applyProtection="1">
      <alignment vertical="center"/>
      <protection hidden="1"/>
    </xf>
    <xf numFmtId="0" fontId="13" fillId="0" borderId="6" xfId="0" applyFont="1" applyFill="1" applyBorder="1" applyAlignment="1" applyProtection="1">
      <alignment horizontal="left" vertical="center"/>
      <protection hidden="1"/>
    </xf>
    <xf numFmtId="0" fontId="3" fillId="0" borderId="1" xfId="0" applyFont="1" applyBorder="1" applyAlignment="1" applyProtection="1">
      <alignment vertical="center"/>
      <protection hidden="1"/>
    </xf>
    <xf numFmtId="164" fontId="3" fillId="0" borderId="7" xfId="0" applyNumberFormat="1" applyFont="1" applyBorder="1" applyAlignment="1" applyProtection="1">
      <alignment vertical="center"/>
      <protection hidden="1"/>
    </xf>
    <xf numFmtId="0" fontId="0" fillId="0" borderId="4" xfId="0" applyBorder="1" applyAlignment="1" applyProtection="1">
      <alignment vertical="center"/>
      <protection hidden="1"/>
    </xf>
    <xf numFmtId="0" fontId="0" fillId="0" borderId="0" xfId="0" applyBorder="1" applyAlignment="1" applyProtection="1">
      <alignment vertical="center"/>
      <protection hidden="1"/>
    </xf>
    <xf numFmtId="0" fontId="3" fillId="0" borderId="18" xfId="0" applyFont="1" applyBorder="1"/>
    <xf numFmtId="164" fontId="3" fillId="0" borderId="18" xfId="0" applyNumberFormat="1" applyFont="1" applyBorder="1" applyProtection="1"/>
    <xf numFmtId="0" fontId="0" fillId="0" borderId="18" xfId="0" applyBorder="1" applyAlignment="1" applyProtection="1">
      <alignment vertical="center"/>
      <protection hidden="1"/>
    </xf>
    <xf numFmtId="0" fontId="0" fillId="0" borderId="18" xfId="0" applyBorder="1" applyAlignment="1">
      <alignment horizontal="center" vertical="center"/>
    </xf>
    <xf numFmtId="0" fontId="0" fillId="0" borderId="18" xfId="0" applyBorder="1"/>
    <xf numFmtId="14" fontId="3" fillId="0" borderId="18" xfId="0" applyNumberFormat="1" applyFont="1" applyBorder="1" applyAlignment="1">
      <alignment horizontal="center" vertical="center"/>
    </xf>
    <xf numFmtId="0" fontId="0" fillId="0" borderId="19" xfId="0" applyBorder="1"/>
    <xf numFmtId="0" fontId="5" fillId="2" borderId="7" xfId="0" applyFont="1" applyFill="1" applyBorder="1" applyAlignment="1" applyProtection="1">
      <alignment vertical="center"/>
      <protection hidden="1"/>
    </xf>
    <xf numFmtId="164" fontId="6" fillId="2" borderId="18" xfId="0" applyNumberFormat="1" applyFont="1" applyFill="1" applyBorder="1" applyAlignment="1" applyProtection="1">
      <alignment horizontal="left"/>
      <protection hidden="1"/>
    </xf>
    <xf numFmtId="164" fontId="6" fillId="2" borderId="19" xfId="0" applyNumberFormat="1" applyFont="1" applyFill="1" applyBorder="1" applyAlignment="1" applyProtection="1">
      <alignment horizontal="left"/>
      <protection hidden="1"/>
    </xf>
    <xf numFmtId="0" fontId="3" fillId="0" borderId="6" xfId="0" applyFont="1" applyBorder="1" applyProtection="1">
      <protection hidden="1"/>
    </xf>
    <xf numFmtId="0" fontId="3" fillId="0" borderId="0" xfId="0" applyFont="1" applyBorder="1" applyProtection="1">
      <protection hidden="1"/>
    </xf>
    <xf numFmtId="164" fontId="6" fillId="0" borderId="0" xfId="0" applyNumberFormat="1" applyFont="1" applyBorder="1" applyAlignment="1" applyProtection="1">
      <alignment horizontal="left"/>
      <protection hidden="1"/>
    </xf>
    <xf numFmtId="0" fontId="0" fillId="0" borderId="0" xfId="0" applyBorder="1" applyProtection="1">
      <protection hidden="1"/>
    </xf>
    <xf numFmtId="0" fontId="0" fillId="0" borderId="2" xfId="0" applyBorder="1" applyProtection="1">
      <protection hidden="1"/>
    </xf>
    <xf numFmtId="0" fontId="3" fillId="0" borderId="0" xfId="0" applyNumberFormat="1" applyFont="1" applyBorder="1" applyAlignment="1" applyProtection="1">
      <alignment vertical="top"/>
      <protection hidden="1"/>
    </xf>
    <xf numFmtId="0" fontId="3" fillId="0" borderId="7" xfId="0" applyFont="1" applyBorder="1" applyProtection="1">
      <protection hidden="1"/>
    </xf>
    <xf numFmtId="0" fontId="3" fillId="0" borderId="1" xfId="0" applyNumberFormat="1" applyFont="1" applyBorder="1" applyAlignment="1" applyProtection="1">
      <alignment vertical="top"/>
      <protection hidden="1"/>
    </xf>
    <xf numFmtId="164" fontId="7" fillId="0" borderId="1" xfId="0" applyNumberFormat="1" applyFont="1" applyBorder="1" applyAlignment="1" applyProtection="1">
      <alignment horizontal="left"/>
      <protection hidden="1"/>
    </xf>
    <xf numFmtId="0" fontId="0" fillId="0" borderId="1" xfId="0" applyBorder="1" applyProtection="1">
      <protection hidden="1"/>
    </xf>
    <xf numFmtId="0" fontId="0" fillId="0" borderId="3" xfId="0" applyBorder="1" applyProtection="1">
      <protection hidden="1"/>
    </xf>
    <xf numFmtId="0" fontId="3" fillId="0" borderId="1" xfId="0" applyFont="1" applyBorder="1" applyProtection="1">
      <protection hidden="1"/>
    </xf>
    <xf numFmtId="0" fontId="3" fillId="0" borderId="20" xfId="0" applyFont="1" applyBorder="1" applyProtection="1">
      <protection hidden="1"/>
    </xf>
    <xf numFmtId="0" fontId="3" fillId="0" borderId="4" xfId="0" applyFont="1" applyBorder="1" applyProtection="1">
      <protection hidden="1"/>
    </xf>
    <xf numFmtId="164" fontId="8" fillId="0" borderId="4" xfId="0" applyNumberFormat="1" applyFont="1" applyBorder="1" applyProtection="1">
      <protection hidden="1"/>
    </xf>
    <xf numFmtId="0" fontId="0" fillId="0" borderId="5" xfId="0" applyBorder="1" applyProtection="1">
      <protection hidden="1"/>
    </xf>
    <xf numFmtId="0" fontId="3" fillId="0" borderId="7" xfId="0" applyFont="1" applyBorder="1" applyAlignment="1" applyProtection="1">
      <alignment wrapText="1"/>
      <protection hidden="1"/>
    </xf>
    <xf numFmtId="0" fontId="3" fillId="0" borderId="1" xfId="0" applyFont="1" applyBorder="1" applyAlignment="1" applyProtection="1">
      <alignment wrapText="1"/>
      <protection hidden="1"/>
    </xf>
    <xf numFmtId="164" fontId="6" fillId="2" borderId="1" xfId="0" applyNumberFormat="1" applyFont="1" applyFill="1" applyBorder="1" applyAlignment="1" applyProtection="1">
      <alignment horizontal="left"/>
      <protection hidden="1"/>
    </xf>
    <xf numFmtId="164" fontId="6" fillId="2" borderId="3" xfId="0" applyNumberFormat="1" applyFont="1" applyFill="1" applyBorder="1" applyAlignment="1" applyProtection="1">
      <alignment horizontal="left"/>
      <protection hidden="1"/>
    </xf>
    <xf numFmtId="0" fontId="8" fillId="0" borderId="0" xfId="0" applyFont="1" applyBorder="1" applyProtection="1">
      <protection hidden="1"/>
    </xf>
    <xf numFmtId="164" fontId="9" fillId="0" borderId="1" xfId="0" applyNumberFormat="1" applyFont="1" applyBorder="1" applyAlignment="1" applyProtection="1">
      <alignment horizontal="left"/>
      <protection hidden="1"/>
    </xf>
    <xf numFmtId="164" fontId="9" fillId="0" borderId="0" xfId="0" applyNumberFormat="1" applyFont="1" applyBorder="1" applyAlignment="1" applyProtection="1">
      <alignment horizontal="left"/>
      <protection hidden="1"/>
    </xf>
    <xf numFmtId="0" fontId="4" fillId="0" borderId="6" xfId="0" applyFont="1" applyBorder="1" applyProtection="1">
      <protection hidden="1"/>
    </xf>
    <xf numFmtId="164" fontId="3" fillId="0" borderId="0" xfId="0" applyNumberFormat="1" applyFont="1" applyBorder="1" applyAlignment="1" applyProtection="1">
      <alignment horizontal="left"/>
      <protection hidden="1"/>
    </xf>
    <xf numFmtId="0" fontId="0" fillId="0" borderId="1" xfId="0" applyBorder="1" applyAlignment="1" applyProtection="1">
      <alignment vertical="top" wrapText="1"/>
      <protection hidden="1"/>
    </xf>
    <xf numFmtId="0" fontId="0" fillId="0" borderId="3" xfId="0" applyBorder="1" applyAlignment="1" applyProtection="1">
      <alignment vertical="top" wrapText="1"/>
      <protection hidden="1"/>
    </xf>
    <xf numFmtId="0" fontId="0" fillId="0" borderId="7" xfId="0" applyBorder="1" applyProtection="1">
      <protection hidden="1"/>
    </xf>
    <xf numFmtId="0" fontId="3" fillId="0" borderId="1" xfId="0" applyFont="1" applyBorder="1" applyAlignment="1" applyProtection="1">
      <alignment horizontal="left" vertical="center"/>
      <protection hidden="1"/>
    </xf>
    <xf numFmtId="0" fontId="3" fillId="0" borderId="21" xfId="0" applyFont="1" applyBorder="1" applyAlignment="1" applyProtection="1">
      <alignment vertical="center"/>
      <protection hidden="1"/>
    </xf>
    <xf numFmtId="0" fontId="13" fillId="2" borderId="11" xfId="0" applyFont="1" applyFill="1" applyBorder="1" applyAlignment="1" applyProtection="1">
      <alignment horizontal="left" vertical="center"/>
      <protection hidden="1"/>
    </xf>
    <xf numFmtId="0" fontId="16" fillId="2" borderId="11" xfId="0" applyFont="1" applyFill="1" applyBorder="1" applyAlignment="1" applyProtection="1">
      <alignment vertical="center"/>
      <protection hidden="1"/>
    </xf>
    <xf numFmtId="0" fontId="16" fillId="2" borderId="0" xfId="0" applyFont="1" applyFill="1" applyBorder="1" applyAlignment="1" applyProtection="1">
      <alignment vertical="center"/>
      <protection hidden="1"/>
    </xf>
    <xf numFmtId="1" fontId="5" fillId="8" borderId="0" xfId="0" applyNumberFormat="1" applyFont="1" applyFill="1" applyBorder="1" applyAlignment="1" applyProtection="1">
      <alignment vertical="center"/>
      <protection hidden="1"/>
    </xf>
    <xf numFmtId="0" fontId="16" fillId="8" borderId="21" xfId="0" applyFont="1" applyFill="1" applyBorder="1" applyProtection="1">
      <protection hidden="1"/>
    </xf>
    <xf numFmtId="0" fontId="16" fillId="8" borderId="0" xfId="0" applyFont="1" applyFill="1" applyBorder="1" applyAlignment="1" applyProtection="1">
      <alignment vertical="center"/>
      <protection hidden="1"/>
    </xf>
    <xf numFmtId="0" fontId="0" fillId="0" borderId="22" xfId="0" applyBorder="1" applyProtection="1">
      <protection hidden="1"/>
    </xf>
    <xf numFmtId="0" fontId="0" fillId="0" borderId="23" xfId="0" applyBorder="1" applyProtection="1">
      <protection hidden="1"/>
    </xf>
    <xf numFmtId="0" fontId="0" fillId="0" borderId="10" xfId="0" applyBorder="1" applyProtection="1">
      <protection hidden="1"/>
    </xf>
    <xf numFmtId="0" fontId="0" fillId="0" borderId="24" xfId="0" applyBorder="1" applyProtection="1">
      <protection hidden="1"/>
    </xf>
    <xf numFmtId="0" fontId="0" fillId="8" borderId="17" xfId="0" applyFont="1" applyFill="1" applyBorder="1" applyAlignment="1" applyProtection="1">
      <alignment vertical="center"/>
      <protection hidden="1"/>
    </xf>
    <xf numFmtId="0" fontId="0" fillId="8" borderId="1" xfId="0" applyFill="1" applyBorder="1" applyAlignment="1" applyProtection="1">
      <alignment vertical="center"/>
      <protection hidden="1"/>
    </xf>
    <xf numFmtId="0" fontId="0" fillId="8" borderId="3" xfId="0" applyFill="1" applyBorder="1" applyAlignment="1" applyProtection="1">
      <alignment vertical="center"/>
      <protection hidden="1"/>
    </xf>
    <xf numFmtId="0" fontId="0" fillId="8" borderId="18" xfId="0" applyFill="1" applyBorder="1" applyProtection="1">
      <protection hidden="1"/>
    </xf>
    <xf numFmtId="0" fontId="15" fillId="8" borderId="18" xfId="0" applyFont="1" applyFill="1" applyBorder="1" applyAlignment="1" applyProtection="1">
      <alignment vertical="center"/>
      <protection hidden="1"/>
    </xf>
    <xf numFmtId="0" fontId="15" fillId="2" borderId="18" xfId="0" applyFont="1" applyFill="1" applyBorder="1" applyAlignment="1" applyProtection="1">
      <alignment horizontal="center" vertical="center"/>
      <protection hidden="1"/>
    </xf>
    <xf numFmtId="14" fontId="15" fillId="2" borderId="25" xfId="0" applyNumberFormat="1" applyFont="1" applyFill="1" applyBorder="1" applyAlignment="1" applyProtection="1">
      <alignment vertical="center"/>
      <protection hidden="1"/>
    </xf>
    <xf numFmtId="0" fontId="13" fillId="2" borderId="26" xfId="0" applyFont="1" applyFill="1" applyBorder="1" applyAlignment="1" applyProtection="1">
      <alignment vertical="center"/>
      <protection hidden="1"/>
    </xf>
    <xf numFmtId="0" fontId="13" fillId="2" borderId="18" xfId="0" applyFont="1" applyFill="1" applyBorder="1" applyAlignment="1" applyProtection="1">
      <alignment vertical="center"/>
      <protection hidden="1"/>
    </xf>
    <xf numFmtId="0" fontId="0" fillId="2" borderId="18" xfId="0" applyFill="1" applyBorder="1" applyAlignment="1" applyProtection="1">
      <alignment vertical="center"/>
      <protection hidden="1"/>
    </xf>
    <xf numFmtId="0" fontId="0" fillId="2" borderId="18" xfId="0" applyFill="1" applyBorder="1" applyProtection="1">
      <protection hidden="1"/>
    </xf>
    <xf numFmtId="14" fontId="15" fillId="2" borderId="18" xfId="0" applyNumberFormat="1" applyFont="1" applyFill="1" applyBorder="1" applyAlignment="1" applyProtection="1">
      <alignment horizontal="center"/>
      <protection hidden="1"/>
    </xf>
    <xf numFmtId="0" fontId="15" fillId="2" borderId="25" xfId="0" applyFont="1" applyFill="1" applyBorder="1" applyAlignment="1" applyProtection="1">
      <protection hidden="1"/>
    </xf>
    <xf numFmtId="164" fontId="2" fillId="2" borderId="0" xfId="0" applyNumberFormat="1" applyFont="1" applyFill="1" applyBorder="1" applyAlignment="1" applyProtection="1">
      <alignment horizontal="left"/>
      <protection hidden="1"/>
    </xf>
    <xf numFmtId="0" fontId="0" fillId="2" borderId="0" xfId="0" applyFill="1" applyBorder="1" applyProtection="1">
      <protection hidden="1"/>
    </xf>
    <xf numFmtId="0" fontId="0" fillId="2" borderId="8" xfId="0" applyFill="1" applyBorder="1" applyProtection="1">
      <protection hidden="1"/>
    </xf>
    <xf numFmtId="0" fontId="0" fillId="2" borderId="11" xfId="0" applyFill="1" applyBorder="1" applyAlignment="1" applyProtection="1">
      <alignment horizontal="left"/>
      <protection hidden="1"/>
    </xf>
    <xf numFmtId="164" fontId="0" fillId="2" borderId="0" xfId="0" applyNumberFormat="1" applyFont="1" applyFill="1" applyBorder="1" applyAlignment="1" applyProtection="1">
      <alignment horizontal="left" vertical="center"/>
      <protection hidden="1"/>
    </xf>
    <xf numFmtId="0" fontId="0" fillId="2" borderId="17" xfId="0" applyFill="1" applyBorder="1" applyProtection="1">
      <protection hidden="1"/>
    </xf>
    <xf numFmtId="164" fontId="2" fillId="2" borderId="1" xfId="0" applyNumberFormat="1" applyFont="1" applyFill="1" applyBorder="1" applyAlignment="1" applyProtection="1">
      <alignment horizontal="left"/>
      <protection hidden="1"/>
    </xf>
    <xf numFmtId="0" fontId="0" fillId="2" borderId="1" xfId="0" applyFill="1" applyBorder="1" applyProtection="1">
      <protection hidden="1"/>
    </xf>
    <xf numFmtId="0" fontId="0" fillId="2" borderId="24" xfId="0" applyFill="1" applyBorder="1" applyProtection="1">
      <protection hidden="1"/>
    </xf>
    <xf numFmtId="0" fontId="3" fillId="2" borderId="0" xfId="0" applyFont="1" applyFill="1" applyBorder="1" applyProtection="1">
      <protection hidden="1"/>
    </xf>
    <xf numFmtId="164" fontId="3" fillId="2" borderId="0" xfId="0" applyNumberFormat="1" applyFont="1" applyFill="1" applyBorder="1" applyProtection="1">
      <protection hidden="1"/>
    </xf>
    <xf numFmtId="0" fontId="0" fillId="8" borderId="0" xfId="0" applyFill="1" applyBorder="1" applyAlignment="1" applyProtection="1">
      <alignment vertical="top" wrapText="1"/>
      <protection hidden="1"/>
    </xf>
    <xf numFmtId="0" fontId="0" fillId="8" borderId="0" xfId="0" applyFill="1" applyBorder="1" applyAlignment="1" applyProtection="1">
      <alignment vertical="top"/>
      <protection hidden="1"/>
    </xf>
    <xf numFmtId="0" fontId="0" fillId="2" borderId="21" xfId="0" applyFill="1" applyBorder="1" applyProtection="1">
      <protection hidden="1"/>
    </xf>
    <xf numFmtId="0" fontId="0" fillId="8" borderId="19" xfId="0" applyFill="1" applyBorder="1" applyProtection="1">
      <protection hidden="1"/>
    </xf>
    <xf numFmtId="0" fontId="0" fillId="8" borderId="18" xfId="0" applyFill="1" applyBorder="1" applyAlignment="1" applyProtection="1">
      <alignment vertical="top" wrapText="1"/>
      <protection hidden="1"/>
    </xf>
    <xf numFmtId="0" fontId="0" fillId="8" borderId="18" xfId="0" applyFill="1" applyBorder="1" applyAlignment="1" applyProtection="1">
      <alignment vertical="top"/>
      <protection hidden="1"/>
    </xf>
    <xf numFmtId="0" fontId="0" fillId="8" borderId="19" xfId="0" applyFill="1" applyBorder="1" applyAlignment="1" applyProtection="1">
      <alignment vertical="top"/>
      <protection hidden="1"/>
    </xf>
    <xf numFmtId="0" fontId="0" fillId="8" borderId="1" xfId="0" applyFill="1" applyBorder="1" applyAlignment="1" applyProtection="1">
      <alignment vertical="top"/>
      <protection hidden="1"/>
    </xf>
    <xf numFmtId="0" fontId="10" fillId="2" borderId="21" xfId="0" applyFont="1" applyFill="1" applyBorder="1" applyProtection="1">
      <protection hidden="1"/>
    </xf>
    <xf numFmtId="0" fontId="10" fillId="2" borderId="20" xfId="0" applyFont="1" applyFill="1" applyBorder="1" applyProtection="1">
      <protection hidden="1"/>
    </xf>
    <xf numFmtId="0" fontId="10" fillId="8" borderId="4" xfId="0" applyFont="1" applyFill="1" applyBorder="1" applyAlignment="1" applyProtection="1">
      <alignment vertical="top"/>
      <protection hidden="1"/>
    </xf>
    <xf numFmtId="0" fontId="10" fillId="8" borderId="5" xfId="0" applyFont="1" applyFill="1" applyBorder="1" applyAlignment="1" applyProtection="1">
      <alignment vertical="top"/>
      <protection hidden="1"/>
    </xf>
    <xf numFmtId="0" fontId="10" fillId="2" borderId="4" xfId="0" applyFont="1" applyFill="1" applyBorder="1" applyProtection="1">
      <protection hidden="1"/>
    </xf>
    <xf numFmtId="0" fontId="3" fillId="2" borderId="11" xfId="0" applyFont="1" applyFill="1" applyBorder="1" applyProtection="1">
      <protection hidden="1"/>
    </xf>
    <xf numFmtId="0" fontId="3" fillId="2" borderId="0" xfId="0" applyFont="1" applyFill="1" applyBorder="1" applyAlignment="1" applyProtection="1">
      <alignment horizontal="center" vertical="center"/>
      <protection hidden="1"/>
    </xf>
    <xf numFmtId="0" fontId="3" fillId="2" borderId="0" xfId="0" applyFont="1" applyFill="1" applyBorder="1" applyAlignment="1" applyProtection="1">
      <alignment vertical="center"/>
      <protection hidden="1"/>
    </xf>
    <xf numFmtId="0" fontId="11" fillId="2" borderId="0" xfId="0" applyFont="1" applyFill="1" applyBorder="1" applyAlignment="1" applyProtection="1">
      <alignment vertical="center"/>
      <protection hidden="1"/>
    </xf>
    <xf numFmtId="9" fontId="5" fillId="2" borderId="0" xfId="0" applyNumberFormat="1" applyFont="1" applyFill="1" applyBorder="1" applyAlignment="1" applyProtection="1">
      <alignment vertical="center"/>
      <protection hidden="1"/>
    </xf>
    <xf numFmtId="9" fontId="18" fillId="3" borderId="0" xfId="0" applyNumberFormat="1" applyFont="1" applyFill="1" applyBorder="1" applyAlignment="1" applyProtection="1">
      <protection hidden="1"/>
    </xf>
    <xf numFmtId="0" fontId="3" fillId="2" borderId="11" xfId="0" applyFont="1" applyFill="1" applyBorder="1" applyAlignment="1" applyProtection="1">
      <alignment horizontal="left" vertical="center"/>
      <protection hidden="1"/>
    </xf>
    <xf numFmtId="0" fontId="3" fillId="2" borderId="17" xfId="0" applyFont="1" applyFill="1" applyBorder="1" applyProtection="1">
      <protection hidden="1"/>
    </xf>
    <xf numFmtId="0" fontId="3" fillId="2" borderId="1" xfId="0" applyFont="1" applyFill="1" applyBorder="1" applyProtection="1">
      <protection hidden="1"/>
    </xf>
    <xf numFmtId="164" fontId="3" fillId="2" borderId="1" xfId="0" applyNumberFormat="1" applyFont="1" applyFill="1" applyBorder="1" applyProtection="1">
      <protection hidden="1"/>
    </xf>
    <xf numFmtId="0" fontId="15" fillId="8" borderId="0" xfId="0" applyFont="1" applyFill="1" applyBorder="1" applyAlignment="1" applyProtection="1">
      <alignment vertical="center"/>
      <protection hidden="1"/>
    </xf>
    <xf numFmtId="0" fontId="15" fillId="2" borderId="11" xfId="0" applyFont="1" applyFill="1" applyBorder="1" applyAlignment="1" applyProtection="1">
      <alignment horizontal="left" vertical="top"/>
      <protection hidden="1"/>
    </xf>
    <xf numFmtId="3" fontId="0" fillId="7" borderId="0" xfId="0" applyNumberFormat="1" applyFill="1" applyBorder="1" applyAlignment="1" applyProtection="1">
      <alignment vertical="top"/>
      <protection hidden="1"/>
    </xf>
    <xf numFmtId="0" fontId="10" fillId="7" borderId="0" xfId="0" applyFont="1" applyFill="1" applyBorder="1" applyAlignment="1" applyProtection="1">
      <alignment vertical="top"/>
      <protection hidden="1"/>
    </xf>
    <xf numFmtId="0" fontId="15" fillId="8" borderId="0" xfId="0" applyFont="1" applyFill="1" applyBorder="1" applyAlignment="1" applyProtection="1">
      <alignment vertical="top"/>
      <protection hidden="1"/>
    </xf>
    <xf numFmtId="0" fontId="13" fillId="2" borderId="11" xfId="0" applyFont="1" applyFill="1" applyBorder="1" applyAlignment="1" applyProtection="1">
      <alignment horizontal="left" vertical="top"/>
      <protection hidden="1"/>
    </xf>
    <xf numFmtId="0" fontId="0" fillId="8" borderId="8" xfId="0" applyFill="1" applyBorder="1" applyProtection="1">
      <protection hidden="1"/>
    </xf>
    <xf numFmtId="0" fontId="0" fillId="2" borderId="12" xfId="0" applyFill="1" applyBorder="1" applyProtection="1">
      <protection hidden="1"/>
    </xf>
    <xf numFmtId="0" fontId="0" fillId="2" borderId="14" xfId="0" applyFill="1" applyBorder="1" applyProtection="1">
      <protection hidden="1"/>
    </xf>
    <xf numFmtId="0" fontId="0" fillId="8" borderId="14" xfId="0" applyFill="1" applyBorder="1" applyAlignment="1" applyProtection="1">
      <alignment vertical="top"/>
      <protection hidden="1"/>
    </xf>
    <xf numFmtId="0" fontId="0" fillId="8" borderId="13" xfId="0" applyFill="1" applyBorder="1" applyProtection="1">
      <protection hidden="1"/>
    </xf>
    <xf numFmtId="0" fontId="0" fillId="2" borderId="11" xfId="0" applyFont="1" applyFill="1" applyBorder="1" applyAlignment="1" applyProtection="1">
      <alignment horizontal="left" vertical="top"/>
      <protection hidden="1"/>
    </xf>
    <xf numFmtId="0" fontId="15" fillId="2" borderId="27" xfId="0" applyFont="1" applyFill="1" applyBorder="1" applyAlignment="1" applyProtection="1">
      <alignment vertical="center"/>
      <protection hidden="1"/>
    </xf>
    <xf numFmtId="0" fontId="15" fillId="8" borderId="27" xfId="0" applyFont="1" applyFill="1" applyBorder="1" applyAlignment="1" applyProtection="1">
      <alignment vertical="center"/>
      <protection hidden="1"/>
    </xf>
    <xf numFmtId="0" fontId="0" fillId="0" borderId="0" xfId="0" applyProtection="1">
      <protection hidden="1"/>
    </xf>
    <xf numFmtId="0" fontId="0" fillId="2" borderId="13" xfId="0" applyFill="1" applyBorder="1" applyProtection="1">
      <protection hidden="1"/>
    </xf>
    <xf numFmtId="0" fontId="3" fillId="2" borderId="11" xfId="0" applyFont="1" applyFill="1" applyBorder="1" applyProtection="1">
      <protection locked="0"/>
    </xf>
    <xf numFmtId="0" fontId="3" fillId="2" borderId="0" xfId="0" applyFont="1" applyFill="1" applyBorder="1" applyProtection="1">
      <protection locked="0"/>
    </xf>
    <xf numFmtId="0" fontId="13" fillId="2" borderId="0" xfId="0" applyFont="1" applyFill="1" applyBorder="1" applyAlignment="1" applyProtection="1">
      <alignment horizontal="centerContinuous"/>
      <protection locked="0"/>
    </xf>
    <xf numFmtId="0" fontId="3" fillId="2" borderId="0" xfId="0" applyFont="1" applyFill="1" applyBorder="1" applyAlignment="1" applyProtection="1">
      <alignment horizontal="centerContinuous"/>
      <protection locked="0"/>
    </xf>
    <xf numFmtId="0" fontId="0" fillId="2" borderId="0" xfId="0" applyFill="1" applyBorder="1" applyProtection="1">
      <protection locked="0"/>
    </xf>
    <xf numFmtId="0" fontId="0" fillId="2" borderId="8" xfId="0" applyFill="1" applyBorder="1" applyProtection="1">
      <protection locked="0"/>
    </xf>
    <xf numFmtId="0" fontId="3" fillId="2" borderId="0" xfId="0" applyFont="1" applyFill="1" applyBorder="1" applyAlignment="1" applyProtection="1">
      <alignment horizontal="left"/>
      <protection locked="0"/>
    </xf>
    <xf numFmtId="164" fontId="3" fillId="2" borderId="0" xfId="0" applyNumberFormat="1" applyFont="1" applyFill="1" applyBorder="1" applyProtection="1">
      <protection locked="0"/>
    </xf>
    <xf numFmtId="164" fontId="16" fillId="2" borderId="0" xfId="0" applyNumberFormat="1" applyFont="1" applyFill="1" applyBorder="1" applyAlignment="1" applyProtection="1">
      <alignment vertical="top"/>
      <protection locked="0"/>
    </xf>
    <xf numFmtId="164" fontId="16" fillId="2" borderId="0" xfId="0" applyNumberFormat="1" applyFont="1" applyFill="1" applyBorder="1" applyAlignment="1" applyProtection="1">
      <alignment vertical="center"/>
      <protection locked="0"/>
    </xf>
    <xf numFmtId="0" fontId="16" fillId="2" borderId="0" xfId="0" applyFont="1" applyFill="1" applyBorder="1" applyAlignment="1" applyProtection="1">
      <alignment vertical="top"/>
      <protection locked="0"/>
    </xf>
    <xf numFmtId="0" fontId="4" fillId="0" borderId="0" xfId="0" applyFont="1"/>
    <xf numFmtId="0" fontId="23" fillId="0" borderId="0" xfId="0" applyFont="1"/>
    <xf numFmtId="0" fontId="14" fillId="0" borderId="23" xfId="0" applyFont="1" applyBorder="1" applyProtection="1">
      <protection hidden="1"/>
    </xf>
    <xf numFmtId="0" fontId="14" fillId="0" borderId="10" xfId="0" applyFont="1" applyBorder="1" applyProtection="1">
      <protection hidden="1"/>
    </xf>
    <xf numFmtId="0" fontId="14" fillId="0" borderId="28" xfId="0" applyFont="1" applyBorder="1" applyProtection="1">
      <protection hidden="1"/>
    </xf>
    <xf numFmtId="0" fontId="14" fillId="0" borderId="14" xfId="0" applyFont="1" applyBorder="1" applyProtection="1">
      <protection hidden="1"/>
    </xf>
    <xf numFmtId="0" fontId="14" fillId="0" borderId="13" xfId="0" applyFont="1" applyBorder="1" applyProtection="1">
      <protection hidden="1"/>
    </xf>
    <xf numFmtId="0" fontId="14" fillId="0" borderId="29" xfId="0" applyFont="1" applyBorder="1" applyProtection="1">
      <protection hidden="1"/>
    </xf>
    <xf numFmtId="0" fontId="0" fillId="9" borderId="0" xfId="0" applyFill="1" applyBorder="1"/>
    <xf numFmtId="0" fontId="0" fillId="9" borderId="0" xfId="0" applyFill="1" applyBorder="1" applyAlignment="1">
      <alignment vertical="top" wrapText="1"/>
    </xf>
    <xf numFmtId="0" fontId="0" fillId="10" borderId="0" xfId="0" applyFill="1" applyBorder="1" applyAlignment="1">
      <alignment vertical="top" wrapText="1"/>
    </xf>
    <xf numFmtId="0" fontId="4" fillId="0" borderId="29" xfId="0" applyFont="1" applyBorder="1" applyAlignment="1" applyProtection="1">
      <alignment horizontal="center" vertical="justify"/>
      <protection hidden="1"/>
    </xf>
    <xf numFmtId="0" fontId="4" fillId="0" borderId="28" xfId="0" applyFont="1" applyBorder="1" applyAlignment="1" applyProtection="1">
      <alignment horizontal="center" vertical="center"/>
      <protection hidden="1"/>
    </xf>
    <xf numFmtId="164" fontId="3" fillId="0" borderId="7" xfId="0" applyNumberFormat="1" applyFont="1" applyBorder="1" applyAlignment="1" applyProtection="1">
      <alignment horizontal="left" vertical="top" wrapText="1"/>
      <protection hidden="1"/>
    </xf>
    <xf numFmtId="0" fontId="0" fillId="11" borderId="0" xfId="0" applyFill="1" applyBorder="1" applyAlignment="1">
      <alignment vertical="top" wrapText="1"/>
    </xf>
    <xf numFmtId="0" fontId="22" fillId="0" borderId="0" xfId="0" applyFont="1" applyBorder="1" applyAlignment="1">
      <alignment vertical="top" wrapText="1"/>
    </xf>
    <xf numFmtId="0" fontId="16" fillId="0" borderId="7" xfId="0" applyFont="1" applyBorder="1" applyAlignment="1" applyProtection="1">
      <alignment horizontal="left" vertical="top" wrapText="1" shrinkToFit="1"/>
      <protection locked="0"/>
    </xf>
    <xf numFmtId="0" fontId="16" fillId="0" borderId="1" xfId="0" applyFont="1" applyBorder="1" applyAlignment="1" applyProtection="1">
      <alignment horizontal="left" vertical="top" wrapText="1" shrinkToFit="1"/>
      <protection locked="0"/>
    </xf>
    <xf numFmtId="0" fontId="16" fillId="0" borderId="3" xfId="0" applyFont="1" applyBorder="1" applyAlignment="1" applyProtection="1">
      <alignment horizontal="left" vertical="top" wrapText="1" shrinkToFit="1"/>
      <protection locked="0"/>
    </xf>
    <xf numFmtId="0" fontId="16" fillId="0" borderId="6" xfId="0" applyFont="1" applyBorder="1" applyAlignment="1" applyProtection="1">
      <alignment horizontal="left" vertical="top" wrapText="1" shrinkToFit="1"/>
      <protection locked="0"/>
    </xf>
    <xf numFmtId="0" fontId="16" fillId="0" borderId="0" xfId="0" applyFont="1" applyBorder="1" applyAlignment="1" applyProtection="1">
      <alignment horizontal="left" vertical="top" wrapText="1" shrinkToFit="1"/>
      <protection locked="0"/>
    </xf>
    <xf numFmtId="0" fontId="16" fillId="0" borderId="2" xfId="0" applyFont="1" applyBorder="1" applyAlignment="1" applyProtection="1">
      <alignment horizontal="left" vertical="top" wrapText="1" shrinkToFit="1"/>
      <protection locked="0"/>
    </xf>
    <xf numFmtId="0" fontId="20" fillId="2" borderId="0" xfId="0" applyFont="1" applyFill="1" applyAlignment="1">
      <alignment horizontal="left"/>
    </xf>
    <xf numFmtId="0" fontId="0" fillId="3" borderId="21" xfId="0" applyFill="1" applyBorder="1" applyAlignment="1" applyProtection="1">
      <alignment horizontal="left" vertical="center"/>
      <protection locked="0"/>
    </xf>
    <xf numFmtId="0" fontId="0" fillId="3" borderId="18" xfId="0" applyFill="1" applyBorder="1" applyAlignment="1" applyProtection="1">
      <alignment horizontal="left" vertical="center"/>
      <protection locked="0"/>
    </xf>
    <xf numFmtId="0" fontId="0" fillId="3" borderId="19" xfId="0" applyFill="1" applyBorder="1" applyAlignment="1" applyProtection="1">
      <alignment horizontal="left" vertical="center"/>
      <protection locked="0"/>
    </xf>
    <xf numFmtId="0" fontId="0" fillId="3" borderId="15" xfId="0" applyFill="1" applyBorder="1" applyAlignment="1" applyProtection="1">
      <alignment horizontal="center" vertical="center"/>
      <protection locked="0"/>
    </xf>
    <xf numFmtId="0" fontId="0" fillId="8" borderId="15" xfId="0" applyFill="1" applyBorder="1" applyAlignment="1" applyProtection="1">
      <alignment horizontal="center" vertical="center"/>
      <protection hidden="1"/>
    </xf>
    <xf numFmtId="0" fontId="15" fillId="2" borderId="26" xfId="0" applyFont="1" applyFill="1" applyBorder="1" applyAlignment="1" applyProtection="1">
      <alignment horizontal="center" vertical="center"/>
      <protection hidden="1"/>
    </xf>
    <xf numFmtId="0" fontId="15" fillId="2" borderId="18" xfId="0" applyFont="1" applyFill="1" applyBorder="1" applyAlignment="1" applyProtection="1">
      <alignment horizontal="center" vertical="center"/>
      <protection hidden="1"/>
    </xf>
    <xf numFmtId="0" fontId="15" fillId="2" borderId="19" xfId="0" applyFont="1" applyFill="1" applyBorder="1" applyAlignment="1" applyProtection="1">
      <alignment horizontal="center" vertical="center"/>
      <protection hidden="1"/>
    </xf>
    <xf numFmtId="0" fontId="15" fillId="2" borderId="26" xfId="0" applyFont="1" applyFill="1" applyBorder="1" applyAlignment="1" applyProtection="1">
      <alignment horizontal="left" vertical="center"/>
      <protection hidden="1"/>
    </xf>
    <xf numFmtId="0" fontId="15" fillId="2" borderId="18" xfId="0" applyFont="1" applyFill="1" applyBorder="1" applyAlignment="1" applyProtection="1">
      <alignment horizontal="left" vertical="center"/>
      <protection hidden="1"/>
    </xf>
    <xf numFmtId="0" fontId="15" fillId="2" borderId="19" xfId="0" applyFont="1" applyFill="1" applyBorder="1" applyAlignment="1" applyProtection="1">
      <alignment horizontal="left" vertical="center"/>
      <protection hidden="1"/>
    </xf>
    <xf numFmtId="0" fontId="15" fillId="2" borderId="17" xfId="0" applyFont="1" applyFill="1" applyBorder="1" applyAlignment="1" applyProtection="1">
      <alignment horizontal="left" vertical="center"/>
      <protection hidden="1"/>
    </xf>
    <xf numFmtId="0" fontId="15" fillId="2" borderId="1" xfId="0" applyFont="1" applyFill="1" applyBorder="1" applyAlignment="1" applyProtection="1">
      <alignment horizontal="left" vertical="center"/>
      <protection hidden="1"/>
    </xf>
    <xf numFmtId="0" fontId="15" fillId="2" borderId="3" xfId="0" applyFont="1" applyFill="1" applyBorder="1" applyAlignment="1" applyProtection="1">
      <alignment horizontal="left" vertical="center"/>
      <protection hidden="1"/>
    </xf>
    <xf numFmtId="0" fontId="15" fillId="3" borderId="26" xfId="0" applyFont="1" applyFill="1" applyBorder="1" applyAlignment="1" applyProtection="1">
      <alignment horizontal="left" vertical="center"/>
      <protection locked="0"/>
    </xf>
    <xf numFmtId="0" fontId="15" fillId="3" borderId="18" xfId="0" applyFont="1" applyFill="1" applyBorder="1" applyAlignment="1" applyProtection="1">
      <alignment horizontal="left" vertical="center"/>
      <protection locked="0"/>
    </xf>
    <xf numFmtId="0" fontId="15" fillId="3" borderId="19" xfId="0" applyFont="1" applyFill="1" applyBorder="1" applyAlignment="1" applyProtection="1">
      <alignment horizontal="left" vertical="center"/>
      <protection locked="0"/>
    </xf>
    <xf numFmtId="0" fontId="0" fillId="3" borderId="21" xfId="0" applyFill="1" applyBorder="1" applyAlignment="1" applyProtection="1">
      <alignment horizontal="center" vertical="center"/>
      <protection locked="0"/>
    </xf>
    <xf numFmtId="0" fontId="0" fillId="3" borderId="18" xfId="0" applyFill="1" applyBorder="1" applyAlignment="1" applyProtection="1">
      <alignment horizontal="center" vertical="center"/>
      <protection locked="0"/>
    </xf>
    <xf numFmtId="0" fontId="0" fillId="3" borderId="19" xfId="0" applyFill="1" applyBorder="1" applyAlignment="1" applyProtection="1">
      <alignment horizontal="center" vertical="center"/>
      <protection locked="0"/>
    </xf>
    <xf numFmtId="0" fontId="0" fillId="8" borderId="21" xfId="0" applyFill="1" applyBorder="1" applyAlignment="1" applyProtection="1">
      <alignment horizontal="center" vertical="center"/>
      <protection hidden="1"/>
    </xf>
    <xf numFmtId="0" fontId="0" fillId="8" borderId="18" xfId="0" applyFill="1" applyBorder="1" applyAlignment="1" applyProtection="1">
      <alignment horizontal="center" vertical="center"/>
      <protection hidden="1"/>
    </xf>
    <xf numFmtId="0" fontId="0" fillId="8" borderId="19" xfId="0" applyFill="1" applyBorder="1" applyAlignment="1" applyProtection="1">
      <alignment horizontal="center" vertical="center"/>
      <protection hidden="1"/>
    </xf>
    <xf numFmtId="0" fontId="0" fillId="2" borderId="21" xfId="0" applyFill="1" applyBorder="1" applyAlignment="1" applyProtection="1">
      <alignment horizontal="left" vertical="center" wrapText="1"/>
      <protection hidden="1"/>
    </xf>
    <xf numFmtId="0" fontId="0" fillId="2" borderId="18" xfId="0" applyFill="1" applyBorder="1" applyAlignment="1" applyProtection="1">
      <alignment horizontal="left" vertical="center" wrapText="1"/>
      <protection hidden="1"/>
    </xf>
    <xf numFmtId="0" fontId="0" fillId="2" borderId="19" xfId="0" applyFill="1" applyBorder="1" applyAlignment="1" applyProtection="1">
      <alignment horizontal="left" vertical="center" wrapText="1"/>
      <protection hidden="1"/>
    </xf>
    <xf numFmtId="0" fontId="0" fillId="8" borderId="21" xfId="0" applyFill="1" applyBorder="1" applyAlignment="1" applyProtection="1">
      <alignment horizontal="left" vertical="center"/>
      <protection hidden="1"/>
    </xf>
    <xf numFmtId="0" fontId="0" fillId="8" borderId="18" xfId="0" applyFill="1" applyBorder="1" applyAlignment="1" applyProtection="1">
      <alignment horizontal="left" vertical="center"/>
      <protection hidden="1"/>
    </xf>
    <xf numFmtId="0" fontId="0" fillId="8" borderId="19" xfId="0" applyFill="1" applyBorder="1" applyAlignment="1" applyProtection="1">
      <alignment horizontal="left" vertical="center"/>
      <protection hidden="1"/>
    </xf>
    <xf numFmtId="0" fontId="0" fillId="3" borderId="18" xfId="0" applyFill="1" applyBorder="1" applyAlignment="1" applyProtection="1">
      <alignment horizontal="center" vertical="top"/>
      <protection locked="0"/>
    </xf>
    <xf numFmtId="0" fontId="0" fillId="3" borderId="19" xfId="0" applyFill="1" applyBorder="1" applyAlignment="1" applyProtection="1">
      <alignment horizontal="center" vertical="top"/>
      <protection locked="0"/>
    </xf>
    <xf numFmtId="0" fontId="0" fillId="3" borderId="7"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15" fillId="3" borderId="30" xfId="0" applyFont="1" applyFill="1" applyBorder="1" applyAlignment="1" applyProtection="1">
      <alignment horizontal="left" vertical="center"/>
      <protection locked="0"/>
    </xf>
    <xf numFmtId="0" fontId="15" fillId="3" borderId="15" xfId="0" applyFont="1" applyFill="1" applyBorder="1" applyAlignment="1" applyProtection="1">
      <alignment horizontal="left" vertical="center"/>
      <protection locked="0"/>
    </xf>
    <xf numFmtId="0" fontId="0" fillId="8" borderId="30" xfId="0" applyFont="1" applyFill="1" applyBorder="1" applyAlignment="1" applyProtection="1">
      <alignment horizontal="left" vertical="center"/>
      <protection hidden="1"/>
    </xf>
    <xf numFmtId="0" fontId="0" fillId="8" borderId="15" xfId="0" applyFont="1" applyFill="1" applyBorder="1" applyAlignment="1" applyProtection="1">
      <alignment horizontal="left" vertical="center"/>
      <protection hidden="1"/>
    </xf>
    <xf numFmtId="0" fontId="15" fillId="2" borderId="30" xfId="0" applyFont="1" applyFill="1" applyBorder="1" applyAlignment="1" applyProtection="1">
      <alignment horizontal="left" vertical="center"/>
      <protection hidden="1"/>
    </xf>
    <xf numFmtId="0" fontId="15" fillId="2" borderId="15" xfId="0" applyFont="1" applyFill="1" applyBorder="1" applyAlignment="1" applyProtection="1">
      <alignment horizontal="left" vertical="center"/>
      <protection hidden="1"/>
    </xf>
    <xf numFmtId="0" fontId="0" fillId="8" borderId="15" xfId="0" applyFill="1" applyBorder="1" applyAlignment="1" applyProtection="1">
      <alignment horizontal="center" vertical="top"/>
      <protection hidden="1"/>
    </xf>
    <xf numFmtId="0" fontId="0" fillId="8" borderId="15" xfId="0" applyFill="1" applyBorder="1" applyAlignment="1" applyProtection="1">
      <alignment horizontal="left" vertical="center"/>
      <protection hidden="1"/>
    </xf>
    <xf numFmtId="164" fontId="0" fillId="2" borderId="0" xfId="0" applyNumberFormat="1" applyFont="1" applyFill="1" applyBorder="1" applyAlignment="1" applyProtection="1">
      <alignment horizontal="left" vertical="center"/>
      <protection hidden="1"/>
    </xf>
    <xf numFmtId="164" fontId="20" fillId="0" borderId="9" xfId="0" applyNumberFormat="1" applyFont="1" applyBorder="1" applyAlignment="1" applyProtection="1">
      <alignment horizontal="left" vertical="center" wrapText="1"/>
      <protection hidden="1"/>
    </xf>
    <xf numFmtId="164" fontId="20" fillId="0" borderId="23" xfId="0" applyNumberFormat="1" applyFont="1" applyBorder="1" applyAlignment="1" applyProtection="1">
      <alignment horizontal="left" vertical="center"/>
      <protection hidden="1"/>
    </xf>
    <xf numFmtId="164" fontId="20" fillId="0" borderId="31" xfId="0" applyNumberFormat="1" applyFont="1" applyBorder="1" applyAlignment="1" applyProtection="1">
      <alignment horizontal="left" vertical="center"/>
      <protection hidden="1"/>
    </xf>
    <xf numFmtId="9" fontId="5" fillId="0" borderId="21" xfId="0" applyNumberFormat="1" applyFont="1" applyFill="1" applyBorder="1" applyAlignment="1" applyProtection="1">
      <alignment horizontal="center" vertical="center"/>
      <protection hidden="1"/>
    </xf>
    <xf numFmtId="9" fontId="5" fillId="0" borderId="19" xfId="0" applyNumberFormat="1" applyFont="1" applyFill="1" applyBorder="1" applyAlignment="1" applyProtection="1">
      <alignment horizontal="center" vertical="center"/>
      <protection hidden="1"/>
    </xf>
    <xf numFmtId="164" fontId="3" fillId="0" borderId="17" xfId="0" applyNumberFormat="1" applyFont="1" applyBorder="1" applyAlignment="1" applyProtection="1">
      <alignment horizontal="left" vertical="center" wrapText="1"/>
      <protection hidden="1"/>
    </xf>
    <xf numFmtId="164" fontId="3" fillId="0" borderId="1" xfId="0" applyNumberFormat="1" applyFont="1" applyBorder="1" applyAlignment="1" applyProtection="1">
      <alignment horizontal="left" vertical="center"/>
      <protection hidden="1"/>
    </xf>
    <xf numFmtId="164" fontId="3" fillId="0" borderId="3" xfId="0" applyNumberFormat="1" applyFont="1" applyBorder="1" applyAlignment="1" applyProtection="1">
      <alignment horizontal="left" vertical="center"/>
      <protection hidden="1"/>
    </xf>
    <xf numFmtId="9" fontId="5" fillId="2" borderId="0" xfId="0" applyNumberFormat="1" applyFont="1" applyFill="1" applyBorder="1" applyAlignment="1" applyProtection="1">
      <alignment horizontal="center" vertical="center"/>
      <protection hidden="1"/>
    </xf>
    <xf numFmtId="164" fontId="0" fillId="3" borderId="21" xfId="0" applyNumberFormat="1" applyFont="1" applyFill="1" applyBorder="1" applyAlignment="1" applyProtection="1">
      <alignment horizontal="left" vertical="center"/>
      <protection locked="0"/>
    </xf>
    <xf numFmtId="164" fontId="0" fillId="3" borderId="18" xfId="0" applyNumberFormat="1" applyFont="1" applyFill="1" applyBorder="1" applyAlignment="1" applyProtection="1">
      <alignment horizontal="left" vertical="center"/>
      <protection locked="0"/>
    </xf>
    <xf numFmtId="164" fontId="0" fillId="3" borderId="19" xfId="0" applyNumberFormat="1" applyFont="1" applyFill="1" applyBorder="1" applyAlignment="1" applyProtection="1">
      <alignment horizontal="left" vertical="center"/>
      <protection locked="0"/>
    </xf>
    <xf numFmtId="0" fontId="15" fillId="8" borderId="18" xfId="0" applyFont="1" applyFill="1" applyBorder="1" applyAlignment="1" applyProtection="1">
      <alignment horizontal="right" vertical="center"/>
      <protection hidden="1"/>
    </xf>
    <xf numFmtId="9" fontId="20" fillId="0" borderId="21" xfId="0" applyNumberFormat="1" applyFont="1" applyFill="1" applyBorder="1" applyAlignment="1" applyProtection="1">
      <alignment horizontal="center" vertical="center"/>
      <protection hidden="1"/>
    </xf>
    <xf numFmtId="9" fontId="20" fillId="0" borderId="19" xfId="0" applyNumberFormat="1" applyFont="1" applyFill="1" applyBorder="1" applyAlignment="1" applyProtection="1">
      <alignment horizontal="center" vertical="center"/>
      <protection hidden="1"/>
    </xf>
    <xf numFmtId="0" fontId="0" fillId="3" borderId="21" xfId="0" applyFill="1" applyBorder="1" applyAlignment="1" applyProtection="1">
      <alignment horizontal="left" vertical="top"/>
      <protection locked="0"/>
    </xf>
    <xf numFmtId="0" fontId="0" fillId="3" borderId="18" xfId="0" applyFill="1" applyBorder="1" applyAlignment="1" applyProtection="1">
      <alignment horizontal="left" vertical="top"/>
      <protection locked="0"/>
    </xf>
    <xf numFmtId="0" fontId="0" fillId="3" borderId="19" xfId="0" applyFill="1" applyBorder="1" applyAlignment="1" applyProtection="1">
      <alignment horizontal="left" vertical="top"/>
      <protection locked="0"/>
    </xf>
    <xf numFmtId="14" fontId="16" fillId="3" borderId="21" xfId="0" applyNumberFormat="1" applyFont="1" applyFill="1" applyBorder="1" applyAlignment="1" applyProtection="1">
      <alignment horizontal="center" vertical="center"/>
      <protection locked="0"/>
    </xf>
    <xf numFmtId="14" fontId="16" fillId="3" borderId="18" xfId="0" applyNumberFormat="1" applyFont="1" applyFill="1" applyBorder="1" applyAlignment="1" applyProtection="1">
      <alignment horizontal="center" vertical="center"/>
      <protection locked="0"/>
    </xf>
    <xf numFmtId="14" fontId="16" fillId="3" borderId="19" xfId="0" applyNumberFormat="1" applyFont="1" applyFill="1" applyBorder="1" applyAlignment="1" applyProtection="1">
      <alignment horizontal="center" vertical="center"/>
      <protection locked="0"/>
    </xf>
    <xf numFmtId="0" fontId="0" fillId="8" borderId="15" xfId="0" applyFill="1" applyBorder="1" applyAlignment="1" applyProtection="1">
      <alignment vertical="center"/>
      <protection hidden="1"/>
    </xf>
    <xf numFmtId="3" fontId="0" fillId="3" borderId="21" xfId="0" applyNumberFormat="1" applyFill="1" applyBorder="1" applyAlignment="1" applyProtection="1">
      <alignment horizontal="center" vertical="center"/>
      <protection locked="0"/>
    </xf>
    <xf numFmtId="3" fontId="0" fillId="3" borderId="18" xfId="0" applyNumberFormat="1" applyFill="1" applyBorder="1" applyAlignment="1" applyProtection="1">
      <alignment horizontal="center" vertical="center"/>
      <protection locked="0"/>
    </xf>
    <xf numFmtId="3" fontId="0" fillId="3" borderId="19" xfId="0" applyNumberFormat="1" applyFill="1" applyBorder="1" applyAlignment="1" applyProtection="1">
      <alignment horizontal="center" vertical="center"/>
      <protection locked="0"/>
    </xf>
    <xf numFmtId="0" fontId="0" fillId="3" borderId="21" xfId="0" applyFill="1" applyBorder="1" applyAlignment="1" applyProtection="1">
      <alignment horizontal="center" vertical="top"/>
      <protection locked="0"/>
    </xf>
    <xf numFmtId="0" fontId="0" fillId="2" borderId="15" xfId="0" applyFill="1" applyBorder="1" applyAlignment="1" applyProtection="1">
      <alignment horizontal="left" vertical="center"/>
      <protection hidden="1"/>
    </xf>
    <xf numFmtId="0" fontId="0" fillId="2" borderId="15" xfId="0" applyFill="1" applyBorder="1" applyAlignment="1" applyProtection="1">
      <alignment horizontal="left" vertical="top" wrapText="1"/>
      <protection hidden="1"/>
    </xf>
    <xf numFmtId="0" fontId="0" fillId="8" borderId="15" xfId="0" applyFill="1" applyBorder="1" applyAlignment="1" applyProtection="1">
      <alignment horizontal="center" vertical="center" wrapText="1"/>
      <protection hidden="1"/>
    </xf>
    <xf numFmtId="0" fontId="15" fillId="3" borderId="21" xfId="0" applyFont="1" applyFill="1" applyBorder="1" applyAlignment="1" applyProtection="1">
      <alignment horizontal="left" vertical="center"/>
      <protection locked="0"/>
    </xf>
    <xf numFmtId="0" fontId="21" fillId="8" borderId="21" xfId="0" applyFont="1" applyFill="1" applyBorder="1" applyAlignment="1" applyProtection="1">
      <alignment horizontal="center" vertical="center"/>
      <protection hidden="1"/>
    </xf>
    <xf numFmtId="0" fontId="21" fillId="8" borderId="18" xfId="0" applyFont="1" applyFill="1" applyBorder="1" applyAlignment="1" applyProtection="1">
      <alignment horizontal="center" vertical="center"/>
      <protection hidden="1"/>
    </xf>
    <xf numFmtId="0" fontId="21" fillId="8" borderId="19" xfId="0" applyFont="1" applyFill="1" applyBorder="1" applyAlignment="1" applyProtection="1">
      <alignment horizontal="center" vertical="center"/>
      <protection hidden="1"/>
    </xf>
    <xf numFmtId="0" fontId="15" fillId="8" borderId="18" xfId="0" applyFont="1" applyFill="1" applyBorder="1" applyAlignment="1" applyProtection="1">
      <alignment horizontal="left" vertical="center"/>
      <protection hidden="1"/>
    </xf>
    <xf numFmtId="0" fontId="15" fillId="8" borderId="19" xfId="0" applyFont="1" applyFill="1" applyBorder="1" applyAlignment="1" applyProtection="1">
      <alignment horizontal="left" vertical="center"/>
      <protection hidden="1"/>
    </xf>
    <xf numFmtId="0" fontId="15" fillId="2" borderId="21" xfId="0" applyFont="1" applyFill="1" applyBorder="1" applyAlignment="1" applyProtection="1">
      <alignment horizontal="left" vertical="center"/>
      <protection hidden="1"/>
    </xf>
    <xf numFmtId="0" fontId="4" fillId="0" borderId="12" xfId="0" applyFont="1" applyBorder="1" applyAlignment="1" applyProtection="1">
      <alignment horizontal="center" vertical="center"/>
      <protection hidden="1"/>
    </xf>
    <xf numFmtId="0" fontId="4" fillId="0" borderId="14" xfId="0" applyFont="1" applyBorder="1" applyAlignment="1" applyProtection="1">
      <alignment horizontal="center" vertical="center"/>
      <protection hidden="1"/>
    </xf>
    <xf numFmtId="0" fontId="4" fillId="0" borderId="9" xfId="0" applyFont="1" applyBorder="1" applyAlignment="1" applyProtection="1">
      <alignment horizontal="center" vertical="justify"/>
      <protection hidden="1"/>
    </xf>
    <xf numFmtId="0" fontId="4" fillId="0" borderId="23" xfId="0" applyFont="1" applyBorder="1" applyAlignment="1" applyProtection="1">
      <alignment horizontal="center" vertical="justify"/>
      <protection hidden="1"/>
    </xf>
    <xf numFmtId="0" fontId="4" fillId="0" borderId="10" xfId="0" applyFont="1" applyBorder="1" applyAlignment="1" applyProtection="1">
      <alignment horizontal="center" vertical="justify"/>
      <protection hidden="1"/>
    </xf>
    <xf numFmtId="0" fontId="16" fillId="0" borderId="20" xfId="0" applyFont="1" applyBorder="1" applyAlignment="1" applyProtection="1">
      <alignment horizontal="left" vertical="top" wrapText="1" shrinkToFit="1"/>
      <protection locked="0"/>
    </xf>
    <xf numFmtId="0" fontId="16" fillId="0" borderId="4" xfId="0" applyFont="1" applyBorder="1" applyAlignment="1" applyProtection="1">
      <alignment horizontal="left" vertical="top" wrapText="1" shrinkToFit="1"/>
      <protection locked="0"/>
    </xf>
    <xf numFmtId="0" fontId="16" fillId="0" borderId="5" xfId="0" applyFont="1" applyBorder="1" applyAlignment="1" applyProtection="1">
      <alignment horizontal="left" vertical="top" wrapText="1" shrinkToFit="1"/>
      <protection locked="0"/>
    </xf>
    <xf numFmtId="0" fontId="16" fillId="0" borderId="6" xfId="0" applyFont="1" applyBorder="1" applyAlignment="1" applyProtection="1">
      <alignment horizontal="left" vertical="top" wrapText="1" shrinkToFit="1"/>
      <protection locked="0"/>
    </xf>
    <xf numFmtId="0" fontId="16" fillId="0" borderId="0" xfId="0" applyFont="1" applyBorder="1" applyAlignment="1" applyProtection="1">
      <alignment horizontal="left" vertical="top" wrapText="1" shrinkToFit="1"/>
      <protection locked="0"/>
    </xf>
    <xf numFmtId="0" fontId="16" fillId="0" borderId="2" xfId="0" applyFont="1" applyBorder="1" applyAlignment="1" applyProtection="1">
      <alignment horizontal="left" vertical="top" wrapText="1" shrinkToFit="1"/>
      <protection locked="0"/>
    </xf>
    <xf numFmtId="0" fontId="16" fillId="0" borderId="7" xfId="0" applyFont="1" applyBorder="1" applyAlignment="1" applyProtection="1">
      <alignment horizontal="left" vertical="top" wrapText="1" shrinkToFit="1"/>
      <protection locked="0"/>
    </xf>
    <xf numFmtId="0" fontId="16" fillId="0" borderId="1" xfId="0" applyFont="1" applyBorder="1" applyAlignment="1" applyProtection="1">
      <alignment horizontal="left" vertical="top" wrapText="1" shrinkToFit="1"/>
      <protection locked="0"/>
    </xf>
    <xf numFmtId="0" fontId="16" fillId="0" borderId="3" xfId="0" applyFont="1" applyBorder="1" applyAlignment="1" applyProtection="1">
      <alignment horizontal="left" vertical="top" wrapText="1" shrinkToFit="1"/>
      <protection locked="0"/>
    </xf>
    <xf numFmtId="164" fontId="13" fillId="2" borderId="21" xfId="0" applyNumberFormat="1" applyFont="1" applyFill="1" applyBorder="1" applyAlignment="1" applyProtection="1">
      <alignment horizontal="left" vertical="center"/>
      <protection hidden="1"/>
    </xf>
    <xf numFmtId="164" fontId="13" fillId="2" borderId="18" xfId="0" applyNumberFormat="1" applyFont="1" applyFill="1" applyBorder="1" applyAlignment="1" applyProtection="1">
      <alignment horizontal="left" vertical="center"/>
      <protection hidden="1"/>
    </xf>
    <xf numFmtId="164" fontId="13" fillId="2" borderId="19" xfId="0" applyNumberFormat="1" applyFont="1" applyFill="1" applyBorder="1" applyAlignment="1" applyProtection="1">
      <alignment horizontal="left" vertical="center"/>
      <protection hidden="1"/>
    </xf>
    <xf numFmtId="164" fontId="3" fillId="0" borderId="0" xfId="0" applyNumberFormat="1" applyFont="1" applyBorder="1" applyAlignment="1" applyProtection="1">
      <alignment horizontal="left" vertical="top" wrapText="1"/>
      <protection hidden="1"/>
    </xf>
    <xf numFmtId="164" fontId="3" fillId="0" borderId="2" xfId="0" applyNumberFormat="1" applyFont="1" applyBorder="1" applyAlignment="1" applyProtection="1">
      <alignment horizontal="left" vertical="top" wrapText="1"/>
      <protection hidden="1"/>
    </xf>
    <xf numFmtId="164" fontId="5" fillId="0" borderId="20" xfId="0" applyNumberFormat="1" applyFont="1" applyBorder="1" applyAlignment="1" applyProtection="1">
      <alignment horizontal="center"/>
    </xf>
    <xf numFmtId="164" fontId="5" fillId="0" borderId="4" xfId="0" applyNumberFormat="1" applyFont="1" applyBorder="1" applyAlignment="1" applyProtection="1">
      <alignment horizontal="center"/>
    </xf>
    <xf numFmtId="164" fontId="5" fillId="0" borderId="5" xfId="0" applyNumberFormat="1" applyFont="1" applyBorder="1" applyAlignment="1" applyProtection="1">
      <alignment horizontal="center"/>
    </xf>
    <xf numFmtId="164" fontId="5" fillId="0" borderId="7" xfId="0" applyNumberFormat="1" applyFont="1" applyBorder="1" applyAlignment="1" applyProtection="1">
      <alignment horizontal="center"/>
    </xf>
    <xf numFmtId="164" fontId="5" fillId="0" borderId="1" xfId="0" applyNumberFormat="1" applyFont="1" applyBorder="1" applyAlignment="1" applyProtection="1">
      <alignment horizontal="center"/>
    </xf>
    <xf numFmtId="164" fontId="5" fillId="0" borderId="3" xfId="0" applyNumberFormat="1" applyFont="1" applyBorder="1" applyAlignment="1" applyProtection="1">
      <alignment horizontal="center"/>
    </xf>
    <xf numFmtId="14" fontId="3" fillId="0" borderId="20" xfId="0" applyNumberFormat="1" applyFont="1" applyBorder="1" applyAlignment="1">
      <alignment horizontal="center" vertical="center"/>
    </xf>
    <xf numFmtId="14" fontId="3" fillId="0" borderId="4" xfId="0" applyNumberFormat="1" applyFont="1" applyBorder="1" applyAlignment="1">
      <alignment horizontal="center" vertical="center"/>
    </xf>
    <xf numFmtId="14" fontId="3" fillId="0" borderId="5" xfId="0" applyNumberFormat="1" applyFont="1" applyBorder="1" applyAlignment="1">
      <alignment horizontal="center" vertical="center"/>
    </xf>
    <xf numFmtId="14" fontId="3" fillId="0" borderId="6" xfId="0" applyNumberFormat="1" applyFont="1" applyBorder="1" applyAlignment="1">
      <alignment horizontal="center" vertical="center"/>
    </xf>
    <xf numFmtId="14" fontId="3" fillId="0" borderId="0" xfId="0" applyNumberFormat="1" applyFont="1" applyBorder="1" applyAlignment="1">
      <alignment horizontal="center" vertical="center"/>
    </xf>
    <xf numFmtId="14" fontId="3" fillId="0" borderId="2" xfId="0" applyNumberFormat="1" applyFont="1" applyBorder="1" applyAlignment="1">
      <alignment horizontal="center" vertical="center"/>
    </xf>
    <xf numFmtId="14" fontId="3" fillId="0" borderId="7" xfId="0" applyNumberFormat="1" applyFont="1" applyBorder="1" applyAlignment="1">
      <alignment horizontal="center" vertical="center"/>
    </xf>
    <xf numFmtId="14" fontId="3" fillId="0" borderId="1" xfId="0" applyNumberFormat="1" applyFont="1" applyBorder="1" applyAlignment="1">
      <alignment horizontal="center" vertical="center"/>
    </xf>
    <xf numFmtId="14" fontId="3" fillId="0" borderId="3" xfId="0" applyNumberFormat="1" applyFont="1" applyBorder="1" applyAlignment="1">
      <alignment horizontal="center" vertical="center"/>
    </xf>
    <xf numFmtId="164" fontId="15" fillId="0" borderId="4" xfId="0" applyNumberFormat="1" applyFont="1" applyBorder="1" applyAlignment="1" applyProtection="1">
      <alignment horizontal="right" vertical="center"/>
    </xf>
    <xf numFmtId="0" fontId="0" fillId="0" borderId="0" xfId="0" applyBorder="1" applyAlignment="1" applyProtection="1">
      <alignment horizontal="left" vertical="center"/>
      <protection hidden="1"/>
    </xf>
    <xf numFmtId="0" fontId="0" fillId="0" borderId="1" xfId="0" applyBorder="1" applyAlignment="1" applyProtection="1">
      <alignment horizontal="left" vertical="center"/>
      <protection hidden="1"/>
    </xf>
    <xf numFmtId="14" fontId="0" fillId="0" borderId="1" xfId="0" applyNumberFormat="1" applyBorder="1" applyAlignment="1">
      <alignment horizontal="center"/>
    </xf>
    <xf numFmtId="0" fontId="0" fillId="0" borderId="1" xfId="0" applyBorder="1" applyAlignment="1">
      <alignment horizontal="center"/>
    </xf>
    <xf numFmtId="164" fontId="15" fillId="0" borderId="21" xfId="0" applyNumberFormat="1" applyFont="1" applyBorder="1" applyAlignment="1" applyProtection="1">
      <alignment horizontal="right" vertical="center"/>
      <protection hidden="1"/>
    </xf>
    <xf numFmtId="164" fontId="15" fillId="0" borderId="18" xfId="0" applyNumberFormat="1" applyFont="1" applyBorder="1" applyAlignment="1" applyProtection="1">
      <alignment horizontal="right" vertical="center"/>
      <protection hidden="1"/>
    </xf>
    <xf numFmtId="164" fontId="15" fillId="0" borderId="19" xfId="0" applyNumberFormat="1" applyFont="1" applyBorder="1" applyAlignment="1" applyProtection="1">
      <alignment horizontal="right" vertical="center"/>
      <protection hidden="1"/>
    </xf>
    <xf numFmtId="164" fontId="2" fillId="0" borderId="20" xfId="0" applyNumberFormat="1" applyFont="1" applyBorder="1" applyAlignment="1" applyProtection="1">
      <alignment horizontal="left"/>
      <protection hidden="1"/>
    </xf>
    <xf numFmtId="0" fontId="0" fillId="0" borderId="4" xfId="0" applyBorder="1" applyProtection="1">
      <protection hidden="1"/>
    </xf>
    <xf numFmtId="164" fontId="13" fillId="2" borderId="21" xfId="0" applyNumberFormat="1" applyFont="1" applyFill="1" applyBorder="1" applyAlignment="1" applyProtection="1">
      <alignment horizontal="center" vertical="center"/>
      <protection hidden="1"/>
    </xf>
    <xf numFmtId="164" fontId="13" fillId="2" borderId="18" xfId="0" applyNumberFormat="1" applyFont="1" applyFill="1" applyBorder="1" applyAlignment="1" applyProtection="1">
      <alignment horizontal="center" vertical="center"/>
      <protection hidden="1"/>
    </xf>
    <xf numFmtId="164" fontId="13" fillId="2" borderId="19" xfId="0" applyNumberFormat="1" applyFont="1" applyFill="1" applyBorder="1" applyAlignment="1" applyProtection="1">
      <alignment horizontal="center" vertical="center"/>
      <protection hidden="1"/>
    </xf>
    <xf numFmtId="14" fontId="3" fillId="0" borderId="20" xfId="0" applyNumberFormat="1" applyFont="1" applyBorder="1" applyAlignment="1" applyProtection="1">
      <alignment horizontal="center" vertical="center"/>
      <protection hidden="1"/>
    </xf>
    <xf numFmtId="14" fontId="3" fillId="0" borderId="4" xfId="0" applyNumberFormat="1" applyFont="1" applyBorder="1" applyAlignment="1" applyProtection="1">
      <alignment horizontal="center" vertical="center"/>
      <protection hidden="1"/>
    </xf>
    <xf numFmtId="14" fontId="3" fillId="0" borderId="5" xfId="0" applyNumberFormat="1" applyFont="1" applyBorder="1" applyAlignment="1" applyProtection="1">
      <alignment horizontal="center" vertical="center"/>
      <protection hidden="1"/>
    </xf>
    <xf numFmtId="14" fontId="3" fillId="0" borderId="6" xfId="0" applyNumberFormat="1" applyFont="1" applyBorder="1" applyAlignment="1" applyProtection="1">
      <alignment horizontal="center" vertical="center"/>
      <protection hidden="1"/>
    </xf>
    <xf numFmtId="14" fontId="3" fillId="0" borderId="0" xfId="0" applyNumberFormat="1" applyFont="1" applyBorder="1" applyAlignment="1" applyProtection="1">
      <alignment horizontal="center" vertical="center"/>
      <protection hidden="1"/>
    </xf>
    <xf numFmtId="14" fontId="3" fillId="0" borderId="2" xfId="0" applyNumberFormat="1" applyFont="1" applyBorder="1" applyAlignment="1" applyProtection="1">
      <alignment horizontal="center" vertical="center"/>
      <protection hidden="1"/>
    </xf>
    <xf numFmtId="14" fontId="3" fillId="0" borderId="7" xfId="0" applyNumberFormat="1" applyFont="1" applyBorder="1" applyAlignment="1" applyProtection="1">
      <alignment horizontal="center" vertical="center"/>
      <protection hidden="1"/>
    </xf>
    <xf numFmtId="14" fontId="3" fillId="0" borderId="1" xfId="0" applyNumberFormat="1" applyFont="1" applyBorder="1" applyAlignment="1" applyProtection="1">
      <alignment horizontal="center" vertical="center"/>
      <protection hidden="1"/>
    </xf>
    <xf numFmtId="14" fontId="3" fillId="0" borderId="3" xfId="0" applyNumberFormat="1" applyFont="1" applyBorder="1" applyAlignment="1" applyProtection="1">
      <alignment horizontal="center" vertical="center"/>
      <protection hidden="1"/>
    </xf>
    <xf numFmtId="164" fontId="5" fillId="0" borderId="20" xfId="0" applyNumberFormat="1" applyFont="1" applyBorder="1" applyAlignment="1" applyProtection="1">
      <alignment horizontal="center"/>
      <protection hidden="1"/>
    </xf>
    <xf numFmtId="164" fontId="5" fillId="0" borderId="4" xfId="0" applyNumberFormat="1" applyFont="1" applyBorder="1" applyAlignment="1" applyProtection="1">
      <alignment horizontal="center"/>
      <protection hidden="1"/>
    </xf>
    <xf numFmtId="164" fontId="5" fillId="0" borderId="5" xfId="0" applyNumberFormat="1" applyFont="1" applyBorder="1" applyAlignment="1" applyProtection="1">
      <alignment horizontal="center"/>
      <protection hidden="1"/>
    </xf>
    <xf numFmtId="164" fontId="5" fillId="0" borderId="7" xfId="0" applyNumberFormat="1" applyFont="1" applyBorder="1" applyAlignment="1" applyProtection="1">
      <alignment horizontal="center"/>
      <protection hidden="1"/>
    </xf>
    <xf numFmtId="164" fontId="5" fillId="0" borderId="1" xfId="0" applyNumberFormat="1" applyFont="1" applyBorder="1" applyAlignment="1" applyProtection="1">
      <alignment horizontal="center"/>
      <protection hidden="1"/>
    </xf>
    <xf numFmtId="164" fontId="5" fillId="0" borderId="3" xfId="0" applyNumberFormat="1" applyFont="1" applyBorder="1" applyAlignment="1" applyProtection="1">
      <alignment horizontal="center"/>
      <protection hidden="1"/>
    </xf>
    <xf numFmtId="0" fontId="14" fillId="3" borderId="0" xfId="0" applyFont="1" applyFill="1" applyAlignment="1">
      <alignment horizontal="center"/>
    </xf>
    <xf numFmtId="0" fontId="14" fillId="3" borderId="0" xfId="0" applyFont="1" applyFill="1" applyBorder="1" applyAlignment="1" applyProtection="1">
      <alignment horizontal="right"/>
      <protection hidden="1"/>
    </xf>
    <xf numFmtId="0" fontId="19" fillId="3" borderId="20" xfId="0" applyFont="1" applyFill="1" applyBorder="1" applyAlignment="1" applyProtection="1">
      <alignment vertical="top" wrapText="1"/>
      <protection hidden="1"/>
    </xf>
    <xf numFmtId="0" fontId="14" fillId="3" borderId="4" xfId="0" applyFont="1" applyFill="1" applyBorder="1" applyAlignment="1">
      <alignment vertical="top" wrapText="1"/>
    </xf>
    <xf numFmtId="0" fontId="14" fillId="3" borderId="5" xfId="0" applyFont="1" applyFill="1" applyBorder="1" applyAlignment="1">
      <alignment vertical="top" wrapText="1"/>
    </xf>
    <xf numFmtId="0" fontId="14" fillId="3" borderId="7" xfId="0" applyFont="1" applyFill="1" applyBorder="1" applyAlignment="1">
      <alignment vertical="top" wrapText="1"/>
    </xf>
    <xf numFmtId="0" fontId="14" fillId="3" borderId="1" xfId="0" applyFont="1" applyFill="1" applyBorder="1" applyAlignment="1">
      <alignment vertical="top" wrapText="1"/>
    </xf>
    <xf numFmtId="0" fontId="14" fillId="3" borderId="3" xfId="0" applyFont="1" applyFill="1" applyBorder="1" applyAlignment="1">
      <alignment vertical="top" wrapText="1"/>
    </xf>
    <xf numFmtId="0" fontId="14" fillId="3" borderId="0" xfId="0" applyFont="1" applyFill="1" applyBorder="1" applyAlignment="1" applyProtection="1">
      <alignment horizontal="center"/>
      <protection hidden="1"/>
    </xf>
    <xf numFmtId="0" fontId="0" fillId="0" borderId="0" xfId="0" applyBorder="1" applyAlignment="1" applyProtection="1">
      <alignment vertical="top" wrapText="1"/>
      <protection hidden="1"/>
    </xf>
    <xf numFmtId="0" fontId="0" fillId="0" borderId="2" xfId="0" applyBorder="1" applyAlignment="1" applyProtection="1">
      <alignment vertical="top" wrapText="1"/>
      <protection hidden="1"/>
    </xf>
  </cellXfs>
  <cellStyles count="2">
    <cellStyle name="Normal" xfId="0" builtinId="0"/>
    <cellStyle name="Percent" xfId="1" builtinId="5"/>
  </cellStyles>
  <dxfs count="135">
    <dxf>
      <fill>
        <patternFill>
          <bgColor indexed="13"/>
        </patternFill>
      </fill>
    </dxf>
    <dxf>
      <fill>
        <patternFill>
          <bgColor indexed="11"/>
        </patternFill>
      </fill>
    </dxf>
    <dxf>
      <fill>
        <patternFill patternType="solid">
          <bgColor indexed="10"/>
        </patternFill>
      </fill>
    </dxf>
    <dxf>
      <fill>
        <patternFill>
          <bgColor indexed="13"/>
        </patternFill>
      </fill>
    </dxf>
    <dxf>
      <fill>
        <patternFill>
          <bgColor indexed="11"/>
        </patternFill>
      </fill>
    </dxf>
    <dxf>
      <fill>
        <patternFill patternType="solid">
          <bgColor indexed="10"/>
        </patternFill>
      </fill>
    </dxf>
    <dxf>
      <fill>
        <patternFill>
          <bgColor indexed="13"/>
        </patternFill>
      </fill>
    </dxf>
    <dxf>
      <fill>
        <patternFill>
          <bgColor indexed="11"/>
        </patternFill>
      </fill>
    </dxf>
    <dxf>
      <fill>
        <patternFill patternType="solid">
          <bgColor indexed="10"/>
        </patternFill>
      </fill>
    </dxf>
    <dxf>
      <fill>
        <patternFill>
          <bgColor indexed="13"/>
        </patternFill>
      </fill>
    </dxf>
    <dxf>
      <fill>
        <patternFill>
          <bgColor indexed="11"/>
        </patternFill>
      </fill>
    </dxf>
    <dxf>
      <fill>
        <patternFill patternType="solid">
          <bgColor indexed="10"/>
        </patternFill>
      </fill>
    </dxf>
    <dxf>
      <fill>
        <patternFill>
          <bgColor indexed="13"/>
        </patternFill>
      </fill>
    </dxf>
    <dxf>
      <fill>
        <patternFill>
          <bgColor indexed="11"/>
        </patternFill>
      </fill>
    </dxf>
    <dxf>
      <fill>
        <patternFill patternType="solid">
          <bgColor indexed="10"/>
        </patternFill>
      </fill>
    </dxf>
    <dxf>
      <fill>
        <patternFill>
          <bgColor indexed="13"/>
        </patternFill>
      </fill>
    </dxf>
    <dxf>
      <fill>
        <patternFill>
          <bgColor indexed="11"/>
        </patternFill>
      </fill>
    </dxf>
    <dxf>
      <fill>
        <patternFill patternType="solid">
          <bgColor indexed="10"/>
        </patternFill>
      </fill>
    </dxf>
    <dxf>
      <fill>
        <patternFill>
          <bgColor indexed="13"/>
        </patternFill>
      </fill>
    </dxf>
    <dxf>
      <fill>
        <patternFill>
          <bgColor indexed="11"/>
        </patternFill>
      </fill>
    </dxf>
    <dxf>
      <fill>
        <patternFill patternType="solid">
          <bgColor indexed="10"/>
        </patternFill>
      </fill>
    </dxf>
    <dxf>
      <fill>
        <patternFill>
          <bgColor indexed="13"/>
        </patternFill>
      </fill>
    </dxf>
    <dxf>
      <fill>
        <patternFill>
          <bgColor indexed="11"/>
        </patternFill>
      </fill>
    </dxf>
    <dxf>
      <fill>
        <patternFill patternType="solid">
          <bgColor indexed="10"/>
        </patternFill>
      </fill>
    </dxf>
    <dxf>
      <fill>
        <patternFill>
          <bgColor indexed="13"/>
        </patternFill>
      </fill>
    </dxf>
    <dxf>
      <fill>
        <patternFill>
          <bgColor indexed="11"/>
        </patternFill>
      </fill>
    </dxf>
    <dxf>
      <fill>
        <patternFill patternType="solid">
          <bgColor indexed="10"/>
        </patternFill>
      </fill>
    </dxf>
    <dxf>
      <fill>
        <patternFill>
          <bgColor indexed="13"/>
        </patternFill>
      </fill>
    </dxf>
    <dxf>
      <fill>
        <patternFill>
          <bgColor indexed="11"/>
        </patternFill>
      </fill>
    </dxf>
    <dxf>
      <fill>
        <patternFill patternType="solid">
          <bgColor indexed="10"/>
        </patternFill>
      </fill>
    </dxf>
    <dxf>
      <fill>
        <patternFill>
          <bgColor indexed="13"/>
        </patternFill>
      </fill>
    </dxf>
    <dxf>
      <fill>
        <patternFill>
          <bgColor indexed="11"/>
        </patternFill>
      </fill>
    </dxf>
    <dxf>
      <fill>
        <patternFill patternType="solid">
          <bgColor indexed="10"/>
        </patternFill>
      </fill>
    </dxf>
    <dxf>
      <fill>
        <patternFill>
          <bgColor indexed="13"/>
        </patternFill>
      </fill>
    </dxf>
    <dxf>
      <fill>
        <patternFill>
          <bgColor indexed="11"/>
        </patternFill>
      </fill>
    </dxf>
    <dxf>
      <fill>
        <patternFill patternType="solid">
          <bgColor indexed="10"/>
        </patternFill>
      </fill>
    </dxf>
    <dxf>
      <fill>
        <patternFill>
          <bgColor indexed="13"/>
        </patternFill>
      </fill>
    </dxf>
    <dxf>
      <fill>
        <patternFill>
          <bgColor indexed="11"/>
        </patternFill>
      </fill>
    </dxf>
    <dxf>
      <fill>
        <patternFill patternType="solid">
          <bgColor indexed="10"/>
        </patternFill>
      </fill>
    </dxf>
    <dxf>
      <fill>
        <patternFill>
          <bgColor indexed="13"/>
        </patternFill>
      </fill>
    </dxf>
    <dxf>
      <fill>
        <patternFill>
          <bgColor indexed="11"/>
        </patternFill>
      </fill>
    </dxf>
    <dxf>
      <fill>
        <patternFill patternType="solid">
          <bgColor indexed="10"/>
        </patternFill>
      </fill>
    </dxf>
    <dxf>
      <fill>
        <patternFill>
          <bgColor indexed="13"/>
        </patternFill>
      </fill>
    </dxf>
    <dxf>
      <fill>
        <patternFill>
          <bgColor indexed="11"/>
        </patternFill>
      </fill>
    </dxf>
    <dxf>
      <fill>
        <patternFill patternType="solid">
          <bgColor indexed="10"/>
        </patternFill>
      </fill>
    </dxf>
    <dxf>
      <fill>
        <patternFill>
          <bgColor indexed="13"/>
        </patternFill>
      </fill>
    </dxf>
    <dxf>
      <fill>
        <patternFill>
          <bgColor indexed="11"/>
        </patternFill>
      </fill>
    </dxf>
    <dxf>
      <fill>
        <patternFill patternType="solid">
          <bgColor indexed="10"/>
        </patternFill>
      </fill>
    </dxf>
    <dxf>
      <fill>
        <patternFill>
          <bgColor indexed="13"/>
        </patternFill>
      </fill>
    </dxf>
    <dxf>
      <fill>
        <patternFill>
          <bgColor indexed="11"/>
        </patternFill>
      </fill>
    </dxf>
    <dxf>
      <fill>
        <patternFill patternType="solid">
          <bgColor indexed="10"/>
        </patternFill>
      </fill>
    </dxf>
    <dxf>
      <fill>
        <patternFill>
          <bgColor indexed="13"/>
        </patternFill>
      </fill>
    </dxf>
    <dxf>
      <fill>
        <patternFill>
          <bgColor indexed="11"/>
        </patternFill>
      </fill>
    </dxf>
    <dxf>
      <fill>
        <patternFill patternType="solid">
          <bgColor indexed="10"/>
        </patternFill>
      </fill>
    </dxf>
    <dxf>
      <fill>
        <patternFill>
          <bgColor indexed="13"/>
        </patternFill>
      </fill>
    </dxf>
    <dxf>
      <fill>
        <patternFill>
          <bgColor indexed="11"/>
        </patternFill>
      </fill>
    </dxf>
    <dxf>
      <fill>
        <patternFill patternType="solid">
          <bgColor indexed="10"/>
        </patternFill>
      </fill>
    </dxf>
    <dxf>
      <fill>
        <patternFill>
          <bgColor indexed="13"/>
        </patternFill>
      </fill>
    </dxf>
    <dxf>
      <fill>
        <patternFill>
          <bgColor indexed="11"/>
        </patternFill>
      </fill>
    </dxf>
    <dxf>
      <fill>
        <patternFill patternType="solid">
          <bgColor indexed="10"/>
        </patternFill>
      </fill>
    </dxf>
    <dxf>
      <fill>
        <patternFill>
          <bgColor indexed="13"/>
        </patternFill>
      </fill>
    </dxf>
    <dxf>
      <fill>
        <patternFill>
          <bgColor indexed="11"/>
        </patternFill>
      </fill>
    </dxf>
    <dxf>
      <fill>
        <patternFill patternType="solid">
          <bgColor indexed="10"/>
        </patternFill>
      </fill>
    </dxf>
    <dxf>
      <fill>
        <patternFill>
          <bgColor indexed="13"/>
        </patternFill>
      </fill>
    </dxf>
    <dxf>
      <fill>
        <patternFill>
          <bgColor indexed="11"/>
        </patternFill>
      </fill>
    </dxf>
    <dxf>
      <fill>
        <patternFill patternType="solid">
          <bgColor indexed="10"/>
        </patternFill>
      </fill>
    </dxf>
    <dxf>
      <fill>
        <patternFill>
          <bgColor indexed="13"/>
        </patternFill>
      </fill>
    </dxf>
    <dxf>
      <fill>
        <patternFill>
          <bgColor indexed="11"/>
        </patternFill>
      </fill>
    </dxf>
    <dxf>
      <fill>
        <patternFill patternType="solid">
          <bgColor indexed="10"/>
        </patternFill>
      </fill>
    </dxf>
    <dxf>
      <fill>
        <patternFill>
          <bgColor indexed="13"/>
        </patternFill>
      </fill>
    </dxf>
    <dxf>
      <fill>
        <patternFill>
          <bgColor indexed="11"/>
        </patternFill>
      </fill>
    </dxf>
    <dxf>
      <fill>
        <patternFill patternType="solid">
          <bgColor indexed="10"/>
        </patternFill>
      </fill>
    </dxf>
    <dxf>
      <fill>
        <patternFill>
          <bgColor indexed="13"/>
        </patternFill>
      </fill>
    </dxf>
    <dxf>
      <fill>
        <patternFill>
          <bgColor indexed="11"/>
        </patternFill>
      </fill>
    </dxf>
    <dxf>
      <fill>
        <patternFill patternType="solid">
          <bgColor indexed="10"/>
        </patternFill>
      </fill>
    </dxf>
    <dxf>
      <fill>
        <patternFill>
          <bgColor indexed="13"/>
        </patternFill>
      </fill>
    </dxf>
    <dxf>
      <fill>
        <patternFill>
          <bgColor indexed="11"/>
        </patternFill>
      </fill>
    </dxf>
    <dxf>
      <fill>
        <patternFill patternType="solid">
          <bgColor indexed="10"/>
        </patternFill>
      </fill>
    </dxf>
    <dxf>
      <fill>
        <patternFill>
          <bgColor indexed="13"/>
        </patternFill>
      </fill>
    </dxf>
    <dxf>
      <fill>
        <patternFill>
          <bgColor indexed="11"/>
        </patternFill>
      </fill>
    </dxf>
    <dxf>
      <fill>
        <patternFill patternType="solid">
          <bgColor indexed="10"/>
        </patternFill>
      </fill>
    </dxf>
    <dxf>
      <fill>
        <patternFill>
          <bgColor indexed="13"/>
        </patternFill>
      </fill>
    </dxf>
    <dxf>
      <fill>
        <patternFill>
          <bgColor indexed="11"/>
        </patternFill>
      </fill>
    </dxf>
    <dxf>
      <fill>
        <patternFill patternType="solid">
          <bgColor indexed="10"/>
        </patternFill>
      </fill>
    </dxf>
    <dxf>
      <fill>
        <patternFill>
          <bgColor indexed="13"/>
        </patternFill>
      </fill>
    </dxf>
    <dxf>
      <fill>
        <patternFill>
          <bgColor indexed="11"/>
        </patternFill>
      </fill>
    </dxf>
    <dxf>
      <fill>
        <patternFill patternType="solid">
          <bgColor indexed="10"/>
        </patternFill>
      </fill>
    </dxf>
    <dxf>
      <fill>
        <patternFill>
          <bgColor indexed="13"/>
        </patternFill>
      </fill>
    </dxf>
    <dxf>
      <fill>
        <patternFill>
          <bgColor indexed="11"/>
        </patternFill>
      </fill>
    </dxf>
    <dxf>
      <fill>
        <patternFill patternType="solid">
          <bgColor indexed="10"/>
        </patternFill>
      </fill>
    </dxf>
    <dxf>
      <fill>
        <patternFill>
          <bgColor indexed="13"/>
        </patternFill>
      </fill>
    </dxf>
    <dxf>
      <fill>
        <patternFill>
          <bgColor indexed="11"/>
        </patternFill>
      </fill>
    </dxf>
    <dxf>
      <fill>
        <patternFill patternType="solid">
          <bgColor indexed="10"/>
        </patternFill>
      </fill>
    </dxf>
    <dxf>
      <fill>
        <patternFill>
          <bgColor indexed="13"/>
        </patternFill>
      </fill>
    </dxf>
    <dxf>
      <fill>
        <patternFill>
          <bgColor indexed="11"/>
        </patternFill>
      </fill>
    </dxf>
    <dxf>
      <fill>
        <patternFill patternType="solid">
          <bgColor indexed="10"/>
        </patternFill>
      </fill>
    </dxf>
    <dxf>
      <fill>
        <patternFill>
          <bgColor indexed="13"/>
        </patternFill>
      </fill>
    </dxf>
    <dxf>
      <fill>
        <patternFill>
          <bgColor indexed="11"/>
        </patternFill>
      </fill>
    </dxf>
    <dxf>
      <fill>
        <patternFill patternType="solid">
          <bgColor indexed="10"/>
        </patternFill>
      </fill>
    </dxf>
    <dxf>
      <fill>
        <patternFill>
          <bgColor indexed="13"/>
        </patternFill>
      </fill>
    </dxf>
    <dxf>
      <fill>
        <patternFill>
          <bgColor indexed="11"/>
        </patternFill>
      </fill>
    </dxf>
    <dxf>
      <fill>
        <patternFill patternType="solid">
          <bgColor indexed="10"/>
        </patternFill>
      </fill>
    </dxf>
    <dxf>
      <fill>
        <patternFill>
          <bgColor indexed="13"/>
        </patternFill>
      </fill>
    </dxf>
    <dxf>
      <fill>
        <patternFill>
          <bgColor indexed="11"/>
        </patternFill>
      </fill>
    </dxf>
    <dxf>
      <fill>
        <patternFill patternType="solid">
          <bgColor indexed="10"/>
        </patternFill>
      </fill>
    </dxf>
    <dxf>
      <fill>
        <patternFill>
          <bgColor indexed="13"/>
        </patternFill>
      </fill>
    </dxf>
    <dxf>
      <fill>
        <patternFill>
          <bgColor indexed="11"/>
        </patternFill>
      </fill>
    </dxf>
    <dxf>
      <fill>
        <patternFill patternType="solid">
          <bgColor indexed="10"/>
        </patternFill>
      </fill>
    </dxf>
    <dxf>
      <fill>
        <patternFill>
          <bgColor indexed="13"/>
        </patternFill>
      </fill>
    </dxf>
    <dxf>
      <fill>
        <patternFill>
          <bgColor indexed="11"/>
        </patternFill>
      </fill>
    </dxf>
    <dxf>
      <fill>
        <patternFill patternType="solid">
          <bgColor indexed="10"/>
        </patternFill>
      </fill>
    </dxf>
    <dxf>
      <fill>
        <patternFill>
          <bgColor indexed="13"/>
        </patternFill>
      </fill>
    </dxf>
    <dxf>
      <fill>
        <patternFill>
          <bgColor indexed="11"/>
        </patternFill>
      </fill>
    </dxf>
    <dxf>
      <fill>
        <patternFill patternType="solid">
          <bgColor indexed="10"/>
        </patternFill>
      </fill>
    </dxf>
    <dxf>
      <fill>
        <patternFill>
          <bgColor indexed="13"/>
        </patternFill>
      </fill>
    </dxf>
    <dxf>
      <fill>
        <patternFill>
          <bgColor indexed="11"/>
        </patternFill>
      </fill>
    </dxf>
    <dxf>
      <fill>
        <patternFill patternType="solid">
          <bgColor indexed="10"/>
        </patternFill>
      </fill>
    </dxf>
    <dxf>
      <fill>
        <patternFill>
          <bgColor indexed="13"/>
        </patternFill>
      </fill>
    </dxf>
    <dxf>
      <fill>
        <patternFill>
          <bgColor indexed="11"/>
        </patternFill>
      </fill>
    </dxf>
    <dxf>
      <fill>
        <patternFill patternType="solid">
          <bgColor indexed="10"/>
        </patternFill>
      </fill>
    </dxf>
    <dxf>
      <fill>
        <patternFill>
          <bgColor indexed="13"/>
        </patternFill>
      </fill>
    </dxf>
    <dxf>
      <fill>
        <patternFill>
          <bgColor indexed="11"/>
        </patternFill>
      </fill>
    </dxf>
    <dxf>
      <fill>
        <patternFill patternType="solid">
          <bgColor indexed="10"/>
        </patternFill>
      </fill>
    </dxf>
    <dxf>
      <fill>
        <patternFill>
          <bgColor indexed="13"/>
        </patternFill>
      </fill>
    </dxf>
    <dxf>
      <fill>
        <patternFill>
          <bgColor indexed="11"/>
        </patternFill>
      </fill>
    </dxf>
    <dxf>
      <fill>
        <patternFill patternType="solid">
          <bgColor indexed="10"/>
        </patternFill>
      </fill>
    </dxf>
    <dxf>
      <fill>
        <patternFill>
          <bgColor indexed="13"/>
        </patternFill>
      </fill>
    </dxf>
    <dxf>
      <fill>
        <patternFill>
          <bgColor indexed="11"/>
        </patternFill>
      </fill>
    </dxf>
    <dxf>
      <fill>
        <patternFill patternType="solid">
          <bgColor indexed="10"/>
        </patternFill>
      </fill>
    </dxf>
    <dxf>
      <fill>
        <patternFill>
          <bgColor indexed="13"/>
        </patternFill>
      </fill>
    </dxf>
    <dxf>
      <fill>
        <patternFill>
          <bgColor indexed="11"/>
        </patternFill>
      </fill>
    </dxf>
    <dxf>
      <fill>
        <patternFill patternType="solid">
          <bgColor indexed="10"/>
        </patternFill>
      </fill>
    </dxf>
    <dxf>
      <fill>
        <patternFill>
          <bgColor indexed="13"/>
        </patternFill>
      </fill>
    </dxf>
    <dxf>
      <fill>
        <patternFill>
          <bgColor indexed="10"/>
        </patternFill>
      </fill>
    </dxf>
    <dxf>
      <fill>
        <patternFill>
          <bgColor indexed="1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Trading volume / Umsatzentwicklung</c:v>
          </c:tx>
          <c:spPr>
            <a:solidFill>
              <a:srgbClr val="0000FF"/>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0-825B-40A9-88E8-20125C4315A2}"/>
            </c:ext>
          </c:extLst>
        </c:ser>
        <c:dLbls>
          <c:showLegendKey val="0"/>
          <c:showVal val="0"/>
          <c:showCatName val="0"/>
          <c:showSerName val="0"/>
          <c:showPercent val="0"/>
          <c:showBubbleSize val="0"/>
        </c:dLbls>
        <c:gapWidth val="150"/>
        <c:axId val="517501608"/>
        <c:axId val="1"/>
      </c:barChart>
      <c:catAx>
        <c:axId val="51750160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225"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275" b="1" i="0" u="none" strike="noStrike" baseline="0">
                    <a:solidFill>
                      <a:srgbClr val="000000"/>
                    </a:solidFill>
                    <a:latin typeface="Arial"/>
                    <a:ea typeface="Arial"/>
                    <a:cs typeface="Arial"/>
                  </a:defRPr>
                </a:pPr>
                <a:r>
                  <a:rPr lang="en-US"/>
                  <a:t>Mio</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n-US"/>
          </a:p>
        </c:txPr>
        <c:crossAx val="517501608"/>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4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paperSize="9" orientation="landscape" horizontalDpi="-3"/>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Personnal development / Personalentwicklung</c:v>
          </c:tx>
          <c:spPr>
            <a:solidFill>
              <a:srgbClr val="0000FF"/>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0-F07F-4668-BD0C-2C3F49CC72DB}"/>
            </c:ext>
          </c:extLst>
        </c:ser>
        <c:dLbls>
          <c:showLegendKey val="0"/>
          <c:showVal val="0"/>
          <c:showCatName val="0"/>
          <c:showSerName val="0"/>
          <c:showPercent val="0"/>
          <c:showBubbleSize val="0"/>
        </c:dLbls>
        <c:gapWidth val="150"/>
        <c:axId val="517501936"/>
        <c:axId val="1"/>
      </c:barChart>
      <c:catAx>
        <c:axId val="51750193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275"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250" b="1" i="0" u="none" strike="noStrike" baseline="0">
                    <a:solidFill>
                      <a:srgbClr val="000000"/>
                    </a:solidFill>
                    <a:latin typeface="Arial"/>
                    <a:ea typeface="Arial"/>
                    <a:cs typeface="Arial"/>
                  </a:defRPr>
                </a:pPr>
                <a:r>
                  <a:rPr lang="en-US"/>
                  <a:t>Number of employment
Anzahl Mitarbeiter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en-US"/>
          </a:p>
        </c:txPr>
        <c:crossAx val="517501936"/>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4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735481687491845"/>
          <c:y val="2.8645906183639994E-2"/>
          <c:w val="0.71560938999642187"/>
          <c:h val="0.89062726498226163"/>
        </c:manualLayout>
      </c:layout>
      <c:barChart>
        <c:barDir val="bar"/>
        <c:grouping val="clustered"/>
        <c:varyColors val="0"/>
        <c:ser>
          <c:idx val="1"/>
          <c:order val="0"/>
          <c:tx>
            <c:v>Actual output in % / Erreichte %</c:v>
          </c:tx>
          <c:spPr>
            <a:solidFill>
              <a:srgbClr val="0000FF"/>
            </a:solidFill>
            <a:ln w="12700">
              <a:solidFill>
                <a:srgbClr val="000000"/>
              </a:solidFill>
              <a:prstDash val="solid"/>
            </a:ln>
          </c:spPr>
          <c:invertIfNegative val="0"/>
          <c:dPt>
            <c:idx val="0"/>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0-182B-42A4-BCD9-3FBAA380BFD2}"/>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1-182B-42A4-BCD9-3FBAA380BFD2}"/>
              </c:ext>
            </c:extLst>
          </c:dPt>
          <c:dPt>
            <c:idx val="2"/>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2-182B-42A4-BCD9-3FBAA380BFD2}"/>
              </c:ext>
            </c:extLst>
          </c:dPt>
          <c:dPt>
            <c:idx val="3"/>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182B-42A4-BCD9-3FBAA380BFD2}"/>
              </c:ext>
            </c:extLst>
          </c:dPt>
          <c:dPt>
            <c:idx val="4"/>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4-182B-42A4-BCD9-3FBAA380BFD2}"/>
              </c:ext>
            </c:extLst>
          </c:dPt>
          <c:dPt>
            <c:idx val="5"/>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5-182B-42A4-BCD9-3FBAA380BFD2}"/>
              </c:ext>
            </c:extLst>
          </c:dPt>
          <c:dPt>
            <c:idx val="6"/>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6-182B-42A4-BCD9-3FBAA380BFD2}"/>
              </c:ext>
            </c:extLst>
          </c:dPt>
          <c:dPt>
            <c:idx val="7"/>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7-182B-42A4-BCD9-3FBAA380BFD2}"/>
              </c:ext>
            </c:extLst>
          </c:dPt>
          <c:cat>
            <c:strRef>
              <c:f>Formeln!$E$16:$G$16</c:f>
              <c:strCache>
                <c:ptCount val="3"/>
                <c:pt idx="0">
                  <c:v>Section D Quality System Assessment</c:v>
                </c:pt>
                <c:pt idx="1">
                  <c:v>Section E Environmental and Safty management </c:v>
                </c:pt>
                <c:pt idx="2">
                  <c:v>Section F Global Compact Principle</c:v>
                </c:pt>
              </c:strCache>
            </c:strRef>
          </c:cat>
          <c:val>
            <c:numRef>
              <c:f>Formeln!$E$20:$G$20</c:f>
              <c:numCache>
                <c:formatCode>0%</c:formatCode>
                <c:ptCount val="3"/>
                <c:pt idx="0">
                  <c:v>0</c:v>
                </c:pt>
                <c:pt idx="1">
                  <c:v>0</c:v>
                </c:pt>
                <c:pt idx="2">
                  <c:v>0</c:v>
                </c:pt>
              </c:numCache>
            </c:numRef>
          </c:val>
          <c:extLst>
            <c:ext xmlns:c16="http://schemas.microsoft.com/office/drawing/2014/chart" uri="{C3380CC4-5D6E-409C-BE32-E72D297353CC}">
              <c16:uniqueId val="{00000008-182B-42A4-BCD9-3FBAA380BFD2}"/>
            </c:ext>
          </c:extLst>
        </c:ser>
        <c:dLbls>
          <c:showLegendKey val="0"/>
          <c:showVal val="0"/>
          <c:showCatName val="0"/>
          <c:showSerName val="0"/>
          <c:showPercent val="0"/>
          <c:showBubbleSize val="0"/>
        </c:dLbls>
        <c:gapWidth val="150"/>
        <c:axId val="517480160"/>
        <c:axId val="1"/>
      </c:barChart>
      <c:catAx>
        <c:axId val="517480160"/>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At val="0"/>
        <c:auto val="1"/>
        <c:lblAlgn val="ctr"/>
        <c:lblOffset val="100"/>
        <c:tickLblSkip val="1"/>
        <c:tickMarkSkip val="1"/>
        <c:noMultiLvlLbl val="0"/>
      </c:catAx>
      <c:valAx>
        <c:axId val="1"/>
        <c:scaling>
          <c:orientation val="minMax"/>
          <c:max val="1"/>
          <c:min val="0"/>
        </c:scaling>
        <c:delete val="0"/>
        <c:axPos val="t"/>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17480160"/>
        <c:crosses val="autoZero"/>
        <c:crossBetween val="between"/>
        <c:majorUnit val="0.1"/>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paperSize="9" orientation="landscape" horizontalDpi="-3"/>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Company_Profile!$M$76:$N$76</c:f>
              <c:strCache>
                <c:ptCount val="2"/>
                <c:pt idx="0">
                  <c:v>Manufacturing</c:v>
                </c:pt>
              </c:strCache>
            </c:strRef>
          </c:tx>
          <c:invertIfNegative val="0"/>
          <c:cat>
            <c:numRef>
              <c:f>Company_Profile!$O$75:$Q$75</c:f>
              <c:numCache>
                <c:formatCode>General</c:formatCode>
                <c:ptCount val="3"/>
                <c:pt idx="0">
                  <c:v>1898</c:v>
                </c:pt>
                <c:pt idx="1">
                  <c:v>1899</c:v>
                </c:pt>
                <c:pt idx="2">
                  <c:v>1900</c:v>
                </c:pt>
              </c:numCache>
            </c:numRef>
          </c:cat>
          <c:val>
            <c:numRef>
              <c:f>Company_Profile!$O$76:$Q$76</c:f>
              <c:numCache>
                <c:formatCode>General</c:formatCode>
                <c:ptCount val="3"/>
                <c:pt idx="0">
                  <c:v>0</c:v>
                </c:pt>
                <c:pt idx="1">
                  <c:v>0</c:v>
                </c:pt>
                <c:pt idx="2">
                  <c:v>0</c:v>
                </c:pt>
              </c:numCache>
            </c:numRef>
          </c:val>
          <c:extLst>
            <c:ext xmlns:c16="http://schemas.microsoft.com/office/drawing/2014/chart" uri="{C3380CC4-5D6E-409C-BE32-E72D297353CC}">
              <c16:uniqueId val="{00000000-B117-4033-BF9C-10B8090FE23D}"/>
            </c:ext>
          </c:extLst>
        </c:ser>
        <c:ser>
          <c:idx val="1"/>
          <c:order val="1"/>
          <c:tx>
            <c:strRef>
              <c:f>Company_Profile!$M$77:$N$77</c:f>
              <c:strCache>
                <c:ptCount val="2"/>
                <c:pt idx="0">
                  <c:v>Purchasing</c:v>
                </c:pt>
              </c:strCache>
            </c:strRef>
          </c:tx>
          <c:invertIfNegative val="0"/>
          <c:cat>
            <c:numRef>
              <c:f>Company_Profile!$O$75:$Q$75</c:f>
              <c:numCache>
                <c:formatCode>General</c:formatCode>
                <c:ptCount val="3"/>
                <c:pt idx="0">
                  <c:v>1898</c:v>
                </c:pt>
                <c:pt idx="1">
                  <c:v>1899</c:v>
                </c:pt>
                <c:pt idx="2">
                  <c:v>1900</c:v>
                </c:pt>
              </c:numCache>
            </c:numRef>
          </c:cat>
          <c:val>
            <c:numRef>
              <c:f>Company_Profile!$O$77:$Q$77</c:f>
              <c:numCache>
                <c:formatCode>General</c:formatCode>
                <c:ptCount val="3"/>
                <c:pt idx="0">
                  <c:v>0</c:v>
                </c:pt>
                <c:pt idx="1">
                  <c:v>0</c:v>
                </c:pt>
                <c:pt idx="2">
                  <c:v>0</c:v>
                </c:pt>
              </c:numCache>
            </c:numRef>
          </c:val>
          <c:extLst>
            <c:ext xmlns:c16="http://schemas.microsoft.com/office/drawing/2014/chart" uri="{C3380CC4-5D6E-409C-BE32-E72D297353CC}">
              <c16:uniqueId val="{00000001-B117-4033-BF9C-10B8090FE23D}"/>
            </c:ext>
          </c:extLst>
        </c:ser>
        <c:ser>
          <c:idx val="2"/>
          <c:order val="2"/>
          <c:tx>
            <c:strRef>
              <c:f>Company_Profile!$M$78:$N$78</c:f>
              <c:strCache>
                <c:ptCount val="2"/>
                <c:pt idx="0">
                  <c:v>Quality</c:v>
                </c:pt>
              </c:strCache>
            </c:strRef>
          </c:tx>
          <c:invertIfNegative val="0"/>
          <c:cat>
            <c:numRef>
              <c:f>Company_Profile!$O$75:$Q$75</c:f>
              <c:numCache>
                <c:formatCode>General</c:formatCode>
                <c:ptCount val="3"/>
                <c:pt idx="0">
                  <c:v>1898</c:v>
                </c:pt>
                <c:pt idx="1">
                  <c:v>1899</c:v>
                </c:pt>
                <c:pt idx="2">
                  <c:v>1900</c:v>
                </c:pt>
              </c:numCache>
            </c:numRef>
          </c:cat>
          <c:val>
            <c:numRef>
              <c:f>Company_Profile!$O$78:$Q$78</c:f>
              <c:numCache>
                <c:formatCode>General</c:formatCode>
                <c:ptCount val="3"/>
                <c:pt idx="0">
                  <c:v>0</c:v>
                </c:pt>
                <c:pt idx="1">
                  <c:v>0</c:v>
                </c:pt>
                <c:pt idx="2">
                  <c:v>0</c:v>
                </c:pt>
              </c:numCache>
            </c:numRef>
          </c:val>
          <c:extLst>
            <c:ext xmlns:c16="http://schemas.microsoft.com/office/drawing/2014/chart" uri="{C3380CC4-5D6E-409C-BE32-E72D297353CC}">
              <c16:uniqueId val="{00000002-B117-4033-BF9C-10B8090FE23D}"/>
            </c:ext>
          </c:extLst>
        </c:ser>
        <c:ser>
          <c:idx val="3"/>
          <c:order val="3"/>
          <c:tx>
            <c:strRef>
              <c:f>Company_Profile!$M$79:$N$79</c:f>
              <c:strCache>
                <c:ptCount val="2"/>
                <c:pt idx="0">
                  <c:v>Engineering</c:v>
                </c:pt>
              </c:strCache>
            </c:strRef>
          </c:tx>
          <c:spPr>
            <a:solidFill>
              <a:srgbClr val="FFC000"/>
            </a:solidFill>
          </c:spPr>
          <c:invertIfNegative val="0"/>
          <c:cat>
            <c:numRef>
              <c:f>Company_Profile!$O$75:$Q$75</c:f>
              <c:numCache>
                <c:formatCode>General</c:formatCode>
                <c:ptCount val="3"/>
                <c:pt idx="0">
                  <c:v>1898</c:v>
                </c:pt>
                <c:pt idx="1">
                  <c:v>1899</c:v>
                </c:pt>
                <c:pt idx="2">
                  <c:v>1900</c:v>
                </c:pt>
              </c:numCache>
            </c:numRef>
          </c:cat>
          <c:val>
            <c:numRef>
              <c:f>Company_Profile!$O$79:$Q$79</c:f>
              <c:numCache>
                <c:formatCode>General</c:formatCode>
                <c:ptCount val="3"/>
                <c:pt idx="0">
                  <c:v>0</c:v>
                </c:pt>
                <c:pt idx="1">
                  <c:v>0</c:v>
                </c:pt>
                <c:pt idx="2">
                  <c:v>0</c:v>
                </c:pt>
              </c:numCache>
            </c:numRef>
          </c:val>
          <c:extLst>
            <c:ext xmlns:c16="http://schemas.microsoft.com/office/drawing/2014/chart" uri="{C3380CC4-5D6E-409C-BE32-E72D297353CC}">
              <c16:uniqueId val="{00000003-B117-4033-BF9C-10B8090FE23D}"/>
            </c:ext>
          </c:extLst>
        </c:ser>
        <c:dLbls>
          <c:showLegendKey val="0"/>
          <c:showVal val="0"/>
          <c:showCatName val="0"/>
          <c:showSerName val="0"/>
          <c:showPercent val="0"/>
          <c:showBubbleSize val="0"/>
        </c:dLbls>
        <c:gapWidth val="150"/>
        <c:overlap val="100"/>
        <c:axId val="517479176"/>
        <c:axId val="1"/>
      </c:barChart>
      <c:catAx>
        <c:axId val="51747917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17479176"/>
        <c:crosses val="autoZero"/>
        <c:crossBetween val="between"/>
      </c:valAx>
    </c:plotArea>
    <c:legend>
      <c:legendPos val="r"/>
      <c:layout>
        <c:manualLayout>
          <c:xMode val="edge"/>
          <c:yMode val="edge"/>
          <c:x val="0.73123486682808714"/>
          <c:y val="0.25980495085173178"/>
          <c:w val="0.24939467312348673"/>
          <c:h val="0.4705902938603263"/>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358394716789424E-2"/>
          <c:y val="0.18189333129475321"/>
          <c:w val="0.86302870205740412"/>
          <c:h val="0.61636419234003514"/>
        </c:manualLayout>
      </c:layout>
      <c:barChart>
        <c:barDir val="col"/>
        <c:grouping val="stacked"/>
        <c:varyColors val="0"/>
        <c:ser>
          <c:idx val="0"/>
          <c:order val="0"/>
          <c:tx>
            <c:strRef>
              <c:f>Company_Profile!$C$75</c:f>
              <c:strCache>
                <c:ptCount val="1"/>
                <c:pt idx="0">
                  <c:v>Sales (€)</c:v>
                </c:pt>
              </c:strCache>
            </c:strRef>
          </c:tx>
          <c:invertIfNegative val="0"/>
          <c:cat>
            <c:numRef>
              <c:f>Company_Profile!$B$76:$B$79</c:f>
              <c:numCache>
                <c:formatCode>General</c:formatCode>
                <c:ptCount val="4"/>
                <c:pt idx="0">
                  <c:v>1897</c:v>
                </c:pt>
                <c:pt idx="1">
                  <c:v>1898</c:v>
                </c:pt>
                <c:pt idx="2">
                  <c:v>1899</c:v>
                </c:pt>
                <c:pt idx="3">
                  <c:v>1900</c:v>
                </c:pt>
              </c:numCache>
            </c:numRef>
          </c:cat>
          <c:val>
            <c:numRef>
              <c:f>Company_Profile!$C$76:$C$79</c:f>
              <c:numCache>
                <c:formatCode>#,##0</c:formatCode>
                <c:ptCount val="4"/>
                <c:pt idx="0">
                  <c:v>0</c:v>
                </c:pt>
                <c:pt idx="1">
                  <c:v>0</c:v>
                </c:pt>
                <c:pt idx="2">
                  <c:v>0</c:v>
                </c:pt>
                <c:pt idx="3">
                  <c:v>0</c:v>
                </c:pt>
              </c:numCache>
            </c:numRef>
          </c:val>
          <c:extLst>
            <c:ext xmlns:c16="http://schemas.microsoft.com/office/drawing/2014/chart" uri="{C3380CC4-5D6E-409C-BE32-E72D297353CC}">
              <c16:uniqueId val="{00000000-95A9-4785-A8AC-D27273FB5EF9}"/>
            </c:ext>
          </c:extLst>
        </c:ser>
        <c:ser>
          <c:idx val="1"/>
          <c:order val="1"/>
          <c:tx>
            <c:strRef>
              <c:f>Company_Profile!$D$75</c:f>
              <c:strCache>
                <c:ptCount val="1"/>
                <c:pt idx="0">
                  <c:v>Investments (€)</c:v>
                </c:pt>
              </c:strCache>
            </c:strRef>
          </c:tx>
          <c:invertIfNegative val="0"/>
          <c:cat>
            <c:numRef>
              <c:f>Company_Profile!$B$76:$B$79</c:f>
              <c:numCache>
                <c:formatCode>General</c:formatCode>
                <c:ptCount val="4"/>
                <c:pt idx="0">
                  <c:v>1897</c:v>
                </c:pt>
                <c:pt idx="1">
                  <c:v>1898</c:v>
                </c:pt>
                <c:pt idx="2">
                  <c:v>1899</c:v>
                </c:pt>
                <c:pt idx="3">
                  <c:v>1900</c:v>
                </c:pt>
              </c:numCache>
            </c:numRef>
          </c:cat>
          <c:val>
            <c:numRef>
              <c:f>Company_Profile!$D$76:$D$79</c:f>
              <c:numCache>
                <c:formatCode>#,##0</c:formatCode>
                <c:ptCount val="4"/>
                <c:pt idx="0">
                  <c:v>0</c:v>
                </c:pt>
                <c:pt idx="1">
                  <c:v>0</c:v>
                </c:pt>
                <c:pt idx="2">
                  <c:v>0</c:v>
                </c:pt>
                <c:pt idx="3">
                  <c:v>0</c:v>
                </c:pt>
              </c:numCache>
            </c:numRef>
          </c:val>
          <c:extLst>
            <c:ext xmlns:c16="http://schemas.microsoft.com/office/drawing/2014/chart" uri="{C3380CC4-5D6E-409C-BE32-E72D297353CC}">
              <c16:uniqueId val="{00000001-95A9-4785-A8AC-D27273FB5EF9}"/>
            </c:ext>
          </c:extLst>
        </c:ser>
        <c:dLbls>
          <c:showLegendKey val="0"/>
          <c:showVal val="0"/>
          <c:showCatName val="0"/>
          <c:showSerName val="0"/>
          <c:showPercent val="0"/>
          <c:showBubbleSize val="0"/>
        </c:dLbls>
        <c:gapWidth val="150"/>
        <c:overlap val="100"/>
        <c:axId val="517508496"/>
        <c:axId val="1"/>
      </c:barChart>
      <c:catAx>
        <c:axId val="51750849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17508496"/>
        <c:crosses val="autoZero"/>
        <c:crossBetween val="between"/>
      </c:valAx>
    </c:plotArea>
    <c:legend>
      <c:legendPos val="b"/>
      <c:layout>
        <c:manualLayout>
          <c:xMode val="edge"/>
          <c:yMode val="edge"/>
          <c:x val="1.6129032258064516E-2"/>
          <c:y val="4.3689320388349516E-2"/>
          <c:w val="0.68064617729235455"/>
          <c:h val="0.11650485436893204"/>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8740157499999996" l="0.7" r="0.7" t="0.78740157499999996" header="0.3" footer="0.3"/>
    <c:pageSetup/>
  </c:printSettings>
</c:chartSpace>
</file>

<file path=xl/ctrlProps/ctrlProp1.xml><?xml version="1.0" encoding="utf-8"?>
<formControlPr xmlns="http://schemas.microsoft.com/office/spreadsheetml/2009/9/main" objectType="Drop" dropLines="6" dropStyle="combo" dx="22" fmlaLink="Vocabularies!$J$2" fmlaRange="Vocabularies!$B$323:$B$328" noThreeD="1" sel="1" val="0"/>
</file>

<file path=xl/ctrlProps/ctrlProp2.xml><?xml version="1.0" encoding="utf-8"?>
<formControlPr xmlns="http://schemas.microsoft.com/office/spreadsheetml/2009/9/main" objectType="Drop" dropLines="6" dropStyle="combo" dx="22" fmlaLink="Vocabularies!$J$2" fmlaRange="Vocabularies!$B$323:$B$328" noThreeD="1" sel="1" val="0"/>
</file>

<file path=xl/ctrlProps/ctrlProp3.xml><?xml version="1.0" encoding="utf-8"?>
<formControlPr xmlns="http://schemas.microsoft.com/office/spreadsheetml/2009/9/main" objectType="Drop" dropLines="6" dropStyle="combo" dx="22" fmlaLink="Vocabularies!$J$2" fmlaRange="Vocabularies!$B$323:$B$328" noThreeD="1" sel="1" val="0"/>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image" Target="../media/image2.png"/><Relationship Id="rId1" Type="http://schemas.openxmlformats.org/officeDocument/2006/relationships/chart" Target="../charts/chart3.xml"/><Relationship Id="rId4"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152400</xdr:rowOff>
    </xdr:from>
    <xdr:to>
      <xdr:col>25</xdr:col>
      <xdr:colOff>9525</xdr:colOff>
      <xdr:row>71</xdr:row>
      <xdr:rowOff>95250</xdr:rowOff>
    </xdr:to>
    <xdr:grpSp>
      <xdr:nvGrpSpPr>
        <xdr:cNvPr id="1613048" name="Gruppieren 52">
          <a:extLst>
            <a:ext uri="{FF2B5EF4-FFF2-40B4-BE49-F238E27FC236}">
              <a16:creationId xmlns:a16="http://schemas.microsoft.com/office/drawing/2014/main" id="{00000000-0008-0000-0000-0000F89C1800}"/>
            </a:ext>
          </a:extLst>
        </xdr:cNvPr>
        <xdr:cNvGrpSpPr>
          <a:grpSpLocks/>
        </xdr:cNvGrpSpPr>
      </xdr:nvGrpSpPr>
      <xdr:grpSpPr bwMode="auto">
        <a:xfrm>
          <a:off x="106680" y="1280160"/>
          <a:ext cx="7499985" cy="11007090"/>
          <a:chOff x="390525" y="276225"/>
          <a:chExt cx="6429375" cy="9077325"/>
        </a:xfrm>
      </xdr:grpSpPr>
      <xdr:pic>
        <xdr:nvPicPr>
          <xdr:cNvPr id="1613051" name="Grafik 53">
            <a:extLst>
              <a:ext uri="{FF2B5EF4-FFF2-40B4-BE49-F238E27FC236}">
                <a16:creationId xmlns:a16="http://schemas.microsoft.com/office/drawing/2014/main" id="{00000000-0008-0000-0000-0000FB9C18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90525" y="276225"/>
            <a:ext cx="6429375" cy="9077325"/>
          </a:xfrm>
          <a:prstGeom prst="rect">
            <a:avLst/>
          </a:prstGeom>
          <a:noFill/>
          <a:ln>
            <a:noFill/>
          </a:ln>
          <a:effectLst/>
          <a:extLst>
            <a:ext uri="{909E8E84-426E-40DD-AFC4-6F175D3DCCD1}">
              <a14:hiddenFill xmlns:a14="http://schemas.microsoft.com/office/drawing/2010/main">
                <a:solidFill>
                  <a:srgbClr val="DDDDD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613052" name="Rectangle 3">
            <a:extLst>
              <a:ext uri="{FF2B5EF4-FFF2-40B4-BE49-F238E27FC236}">
                <a16:creationId xmlns:a16="http://schemas.microsoft.com/office/drawing/2014/main" id="{00000000-0008-0000-0000-0000FC9C1800}"/>
              </a:ext>
            </a:extLst>
          </xdr:cNvPr>
          <xdr:cNvSpPr>
            <a:spLocks noChangeArrowheads="1"/>
          </xdr:cNvSpPr>
        </xdr:nvSpPr>
        <xdr:spPr bwMode="auto">
          <a:xfrm>
            <a:off x="2390775" y="1066800"/>
            <a:ext cx="4171950" cy="1581150"/>
          </a:xfrm>
          <a:prstGeom prst="rect">
            <a:avLst/>
          </a:prstGeom>
          <a:solidFill>
            <a:srgbClr val="DBDBDB"/>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13053" name="Rectangle 4">
            <a:extLst>
              <a:ext uri="{FF2B5EF4-FFF2-40B4-BE49-F238E27FC236}">
                <a16:creationId xmlns:a16="http://schemas.microsoft.com/office/drawing/2014/main" id="{00000000-0008-0000-0000-0000FD9C1800}"/>
              </a:ext>
            </a:extLst>
          </xdr:cNvPr>
          <xdr:cNvSpPr>
            <a:spLocks noChangeArrowheads="1"/>
          </xdr:cNvSpPr>
        </xdr:nvSpPr>
        <xdr:spPr bwMode="auto">
          <a:xfrm>
            <a:off x="2809875" y="5619750"/>
            <a:ext cx="2667000" cy="790575"/>
          </a:xfrm>
          <a:prstGeom prst="rect">
            <a:avLst/>
          </a:prstGeom>
          <a:solidFill>
            <a:srgbClr val="DBDBDB"/>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0</xdr:col>
      <xdr:colOff>47625</xdr:colOff>
      <xdr:row>1</xdr:row>
      <xdr:rowOff>0</xdr:rowOff>
    </xdr:from>
    <xdr:to>
      <xdr:col>11</xdr:col>
      <xdr:colOff>47625</xdr:colOff>
      <xdr:row>1</xdr:row>
      <xdr:rowOff>0</xdr:rowOff>
    </xdr:to>
    <xdr:graphicFrame macro="">
      <xdr:nvGraphicFramePr>
        <xdr:cNvPr id="1613049" name="Chart 6">
          <a:extLst>
            <a:ext uri="{FF2B5EF4-FFF2-40B4-BE49-F238E27FC236}">
              <a16:creationId xmlns:a16="http://schemas.microsoft.com/office/drawing/2014/main" id="{00000000-0008-0000-0000-0000F99C1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95250</xdr:colOff>
      <xdr:row>1</xdr:row>
      <xdr:rowOff>0</xdr:rowOff>
    </xdr:from>
    <xdr:to>
      <xdr:col>25</xdr:col>
      <xdr:colOff>9525</xdr:colOff>
      <xdr:row>1</xdr:row>
      <xdr:rowOff>0</xdr:rowOff>
    </xdr:to>
    <xdr:graphicFrame macro="">
      <xdr:nvGraphicFramePr>
        <xdr:cNvPr id="1613050" name="Chart 7">
          <a:extLst>
            <a:ext uri="{FF2B5EF4-FFF2-40B4-BE49-F238E27FC236}">
              <a16:creationId xmlns:a16="http://schemas.microsoft.com/office/drawing/2014/main" id="{00000000-0008-0000-0000-0000FA9C1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22</xdr:col>
          <xdr:colOff>198120</xdr:colOff>
          <xdr:row>0</xdr:row>
          <xdr:rowOff>38100</xdr:rowOff>
        </xdr:from>
        <xdr:to>
          <xdr:col>26</xdr:col>
          <xdr:colOff>38100</xdr:colOff>
          <xdr:row>0</xdr:row>
          <xdr:rowOff>236220</xdr:rowOff>
        </xdr:to>
        <xdr:sp macro="" textlink="">
          <xdr:nvSpPr>
            <xdr:cNvPr id="614401" name="Drop Down 1" hidden="1">
              <a:extLst>
                <a:ext uri="{63B3BB69-23CF-44E3-9099-C40C66FF867C}">
                  <a14:compatExt spid="_x0000_s614401"/>
                </a:ext>
                <a:ext uri="{FF2B5EF4-FFF2-40B4-BE49-F238E27FC236}">
                  <a16:creationId xmlns:a16="http://schemas.microsoft.com/office/drawing/2014/main" id="{00000000-0008-0000-0000-0000016009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142875</xdr:colOff>
      <xdr:row>53</xdr:row>
      <xdr:rowOff>76200</xdr:rowOff>
    </xdr:from>
    <xdr:to>
      <xdr:col>24</xdr:col>
      <xdr:colOff>523875</xdr:colOff>
      <xdr:row>64</xdr:row>
      <xdr:rowOff>123825</xdr:rowOff>
    </xdr:to>
    <xdr:graphicFrame macro="">
      <xdr:nvGraphicFramePr>
        <xdr:cNvPr id="1761953" name="Chart 2">
          <a:extLst>
            <a:ext uri="{FF2B5EF4-FFF2-40B4-BE49-F238E27FC236}">
              <a16:creationId xmlns:a16="http://schemas.microsoft.com/office/drawing/2014/main" id="{00000000-0008-0000-0100-0000A1E21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85725</xdr:colOff>
      <xdr:row>48</xdr:row>
      <xdr:rowOff>57150</xdr:rowOff>
    </xdr:from>
    <xdr:to>
      <xdr:col>20</xdr:col>
      <xdr:colOff>323850</xdr:colOff>
      <xdr:row>52</xdr:row>
      <xdr:rowOff>19050</xdr:rowOff>
    </xdr:to>
    <xdr:grpSp>
      <xdr:nvGrpSpPr>
        <xdr:cNvPr id="1761954" name="Group 71">
          <a:extLst>
            <a:ext uri="{FF2B5EF4-FFF2-40B4-BE49-F238E27FC236}">
              <a16:creationId xmlns:a16="http://schemas.microsoft.com/office/drawing/2014/main" id="{00000000-0008-0000-0100-0000A2E21A00}"/>
            </a:ext>
          </a:extLst>
        </xdr:cNvPr>
        <xdr:cNvGrpSpPr>
          <a:grpSpLocks/>
        </xdr:cNvGrpSpPr>
      </xdr:nvGrpSpPr>
      <xdr:grpSpPr bwMode="auto">
        <a:xfrm>
          <a:off x="5930265" y="8256270"/>
          <a:ext cx="337185" cy="982980"/>
          <a:chOff x="832" y="899"/>
          <a:chExt cx="64" cy="164"/>
        </a:xfrm>
      </xdr:grpSpPr>
      <xdr:grpSp>
        <xdr:nvGrpSpPr>
          <xdr:cNvPr id="1761958" name="Group 72">
            <a:extLst>
              <a:ext uri="{FF2B5EF4-FFF2-40B4-BE49-F238E27FC236}">
                <a16:creationId xmlns:a16="http://schemas.microsoft.com/office/drawing/2014/main" id="{00000000-0008-0000-0100-0000A6E21A00}"/>
              </a:ext>
            </a:extLst>
          </xdr:cNvPr>
          <xdr:cNvGrpSpPr>
            <a:grpSpLocks/>
          </xdr:cNvGrpSpPr>
        </xdr:nvGrpSpPr>
        <xdr:grpSpPr bwMode="auto">
          <a:xfrm>
            <a:off x="832" y="899"/>
            <a:ext cx="64" cy="164"/>
            <a:chOff x="832" y="900"/>
            <a:chExt cx="64" cy="166"/>
          </a:xfrm>
        </xdr:grpSpPr>
        <xdr:grpSp>
          <xdr:nvGrpSpPr>
            <xdr:cNvPr id="1761961" name="Group 73">
              <a:extLst>
                <a:ext uri="{FF2B5EF4-FFF2-40B4-BE49-F238E27FC236}">
                  <a16:creationId xmlns:a16="http://schemas.microsoft.com/office/drawing/2014/main" id="{00000000-0008-0000-0100-0000A9E21A00}"/>
                </a:ext>
              </a:extLst>
            </xdr:cNvPr>
            <xdr:cNvGrpSpPr>
              <a:grpSpLocks/>
            </xdr:cNvGrpSpPr>
          </xdr:nvGrpSpPr>
          <xdr:grpSpPr bwMode="auto">
            <a:xfrm>
              <a:off x="833" y="900"/>
              <a:ext cx="62" cy="54"/>
              <a:chOff x="833" y="900"/>
              <a:chExt cx="62" cy="54"/>
            </a:xfrm>
          </xdr:grpSpPr>
          <xdr:grpSp>
            <xdr:nvGrpSpPr>
              <xdr:cNvPr id="1761991" name="Group 74">
                <a:extLst>
                  <a:ext uri="{FF2B5EF4-FFF2-40B4-BE49-F238E27FC236}">
                    <a16:creationId xmlns:a16="http://schemas.microsoft.com/office/drawing/2014/main" id="{00000000-0008-0000-0100-0000C7E21A00}"/>
                  </a:ext>
                </a:extLst>
              </xdr:cNvPr>
              <xdr:cNvGrpSpPr>
                <a:grpSpLocks/>
              </xdr:cNvGrpSpPr>
            </xdr:nvGrpSpPr>
            <xdr:grpSpPr bwMode="auto">
              <a:xfrm>
                <a:off x="833" y="900"/>
                <a:ext cx="62" cy="54"/>
                <a:chOff x="833" y="900"/>
                <a:chExt cx="62" cy="54"/>
              </a:xfrm>
            </xdr:grpSpPr>
            <xdr:grpSp>
              <xdr:nvGrpSpPr>
                <xdr:cNvPr id="1761993" name="Group 75">
                  <a:extLst>
                    <a:ext uri="{FF2B5EF4-FFF2-40B4-BE49-F238E27FC236}">
                      <a16:creationId xmlns:a16="http://schemas.microsoft.com/office/drawing/2014/main" id="{00000000-0008-0000-0100-0000C9E21A00}"/>
                    </a:ext>
                  </a:extLst>
                </xdr:cNvPr>
                <xdr:cNvGrpSpPr>
                  <a:grpSpLocks/>
                </xdr:cNvGrpSpPr>
              </xdr:nvGrpSpPr>
              <xdr:grpSpPr bwMode="auto">
                <a:xfrm>
                  <a:off x="833" y="900"/>
                  <a:ext cx="62" cy="54"/>
                  <a:chOff x="833" y="900"/>
                  <a:chExt cx="62" cy="54"/>
                </a:xfrm>
              </xdr:grpSpPr>
              <xdr:grpSp>
                <xdr:nvGrpSpPr>
                  <xdr:cNvPr id="1761995" name="Group 76">
                    <a:extLst>
                      <a:ext uri="{FF2B5EF4-FFF2-40B4-BE49-F238E27FC236}">
                        <a16:creationId xmlns:a16="http://schemas.microsoft.com/office/drawing/2014/main" id="{00000000-0008-0000-0100-0000CBE21A00}"/>
                      </a:ext>
                    </a:extLst>
                  </xdr:cNvPr>
                  <xdr:cNvGrpSpPr>
                    <a:grpSpLocks/>
                  </xdr:cNvGrpSpPr>
                </xdr:nvGrpSpPr>
                <xdr:grpSpPr bwMode="auto">
                  <a:xfrm>
                    <a:off x="833" y="900"/>
                    <a:ext cx="62" cy="54"/>
                    <a:chOff x="833" y="900"/>
                    <a:chExt cx="62" cy="54"/>
                  </a:xfrm>
                </xdr:grpSpPr>
                <xdr:grpSp>
                  <xdr:nvGrpSpPr>
                    <xdr:cNvPr id="1761997" name="Group 77">
                      <a:extLst>
                        <a:ext uri="{FF2B5EF4-FFF2-40B4-BE49-F238E27FC236}">
                          <a16:creationId xmlns:a16="http://schemas.microsoft.com/office/drawing/2014/main" id="{00000000-0008-0000-0100-0000CDE21A00}"/>
                        </a:ext>
                      </a:extLst>
                    </xdr:cNvPr>
                    <xdr:cNvGrpSpPr>
                      <a:grpSpLocks/>
                    </xdr:cNvGrpSpPr>
                  </xdr:nvGrpSpPr>
                  <xdr:grpSpPr bwMode="auto">
                    <a:xfrm>
                      <a:off x="833" y="900"/>
                      <a:ext cx="62" cy="54"/>
                      <a:chOff x="833" y="900"/>
                      <a:chExt cx="62" cy="54"/>
                    </a:xfrm>
                  </xdr:grpSpPr>
                  <xdr:sp macro="" textlink="">
                    <xdr:nvSpPr>
                      <xdr:cNvPr id="1761999" name="AutoShape 78">
                        <a:extLst>
                          <a:ext uri="{FF2B5EF4-FFF2-40B4-BE49-F238E27FC236}">
                            <a16:creationId xmlns:a16="http://schemas.microsoft.com/office/drawing/2014/main" id="{00000000-0008-0000-0100-0000CFE21A00}"/>
                          </a:ext>
                        </a:extLst>
                      </xdr:cNvPr>
                      <xdr:cNvSpPr>
                        <a:spLocks noChangeArrowheads="1"/>
                      </xdr:cNvSpPr>
                    </xdr:nvSpPr>
                    <xdr:spPr bwMode="auto">
                      <a:xfrm>
                        <a:off x="837" y="902"/>
                        <a:ext cx="53" cy="49"/>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60000 65536"/>
                          <a:gd name="T17" fmla="*/ 0 60000 65536"/>
                          <a:gd name="T18" fmla="*/ 0 60000 65536"/>
                          <a:gd name="T19" fmla="*/ 0 60000 65536"/>
                          <a:gd name="T20" fmla="*/ 0 60000 65536"/>
                          <a:gd name="T21" fmla="*/ 0 60000 65536"/>
                          <a:gd name="T22" fmla="*/ 0 60000 65536"/>
                          <a:gd name="T23" fmla="*/ 0 60000 65536"/>
                          <a:gd name="T24" fmla="*/ 3260 w 21600"/>
                          <a:gd name="T25" fmla="*/ 3086 h 21600"/>
                          <a:gd name="T26" fmla="*/ 18340 w 21600"/>
                          <a:gd name="T27" fmla="*/ 18514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2734" y="10800"/>
                            </a:moveTo>
                            <a:cubicBezTo>
                              <a:pt x="2734" y="15255"/>
                              <a:pt x="6345" y="18866"/>
                              <a:pt x="10800" y="18866"/>
                            </a:cubicBezTo>
                            <a:cubicBezTo>
                              <a:pt x="15255" y="18866"/>
                              <a:pt x="18866" y="15255"/>
                              <a:pt x="18866" y="10800"/>
                            </a:cubicBezTo>
                            <a:cubicBezTo>
                              <a:pt x="18866" y="6345"/>
                              <a:pt x="15255" y="2734"/>
                              <a:pt x="10800" y="2734"/>
                            </a:cubicBezTo>
                            <a:cubicBezTo>
                              <a:pt x="6345" y="2734"/>
                              <a:pt x="2734" y="6345"/>
                              <a:pt x="2734" y="10800"/>
                            </a:cubicBezTo>
                            <a:close/>
                          </a:path>
                        </a:pathLst>
                      </a:custGeom>
                      <a:solidFill>
                        <a:srgbClr val="C0C0C0"/>
                      </a:solidFill>
                      <a:ln w="19050">
                        <a:solidFill>
                          <a:srgbClr val="C0C0C0"/>
                        </a:solidFill>
                        <a:round/>
                        <a:headEnd/>
                        <a:tailEnd/>
                      </a:ln>
                    </xdr:spPr>
                  </xdr:sp>
                  <xdr:sp macro="" textlink="">
                    <xdr:nvSpPr>
                      <xdr:cNvPr id="1762000" name="Rectangle 79">
                        <a:extLst>
                          <a:ext uri="{FF2B5EF4-FFF2-40B4-BE49-F238E27FC236}">
                            <a16:creationId xmlns:a16="http://schemas.microsoft.com/office/drawing/2014/main" id="{00000000-0008-0000-0100-0000D0E21A00}"/>
                          </a:ext>
                        </a:extLst>
                      </xdr:cNvPr>
                      <xdr:cNvSpPr>
                        <a:spLocks noChangeArrowheads="1"/>
                      </xdr:cNvSpPr>
                    </xdr:nvSpPr>
                    <xdr:spPr bwMode="auto">
                      <a:xfrm>
                        <a:off x="833" y="945"/>
                        <a:ext cx="62" cy="9"/>
                      </a:xfrm>
                      <a:prstGeom prst="rect">
                        <a:avLst/>
                      </a:prstGeom>
                      <a:solidFill>
                        <a:srgbClr val="C0C0C0"/>
                      </a:solidFill>
                      <a:ln w="19050">
                        <a:solidFill>
                          <a:srgbClr val="C0C0C0"/>
                        </a:solidFill>
                        <a:miter lim="800000"/>
                        <a:headEnd/>
                        <a:tailEnd/>
                      </a:ln>
                    </xdr:spPr>
                  </xdr:sp>
                  <xdr:sp macro="" textlink="">
                    <xdr:nvSpPr>
                      <xdr:cNvPr id="1762001" name="Rectangle 80">
                        <a:extLst>
                          <a:ext uri="{FF2B5EF4-FFF2-40B4-BE49-F238E27FC236}">
                            <a16:creationId xmlns:a16="http://schemas.microsoft.com/office/drawing/2014/main" id="{00000000-0008-0000-0100-0000D1E21A00}"/>
                          </a:ext>
                        </a:extLst>
                      </xdr:cNvPr>
                      <xdr:cNvSpPr>
                        <a:spLocks noChangeArrowheads="1"/>
                      </xdr:cNvSpPr>
                    </xdr:nvSpPr>
                    <xdr:spPr bwMode="auto">
                      <a:xfrm>
                        <a:off x="833" y="901"/>
                        <a:ext cx="10" cy="51"/>
                      </a:xfrm>
                      <a:prstGeom prst="rect">
                        <a:avLst/>
                      </a:prstGeom>
                      <a:solidFill>
                        <a:srgbClr val="C0C0C0"/>
                      </a:solidFill>
                      <a:ln w="19050">
                        <a:solidFill>
                          <a:srgbClr val="C0C0C0"/>
                        </a:solidFill>
                        <a:miter lim="800000"/>
                        <a:headEnd/>
                        <a:tailEnd/>
                      </a:ln>
                    </xdr:spPr>
                  </xdr:sp>
                  <xdr:sp macro="" textlink="">
                    <xdr:nvSpPr>
                      <xdr:cNvPr id="1762002" name="Rectangle 81">
                        <a:extLst>
                          <a:ext uri="{FF2B5EF4-FFF2-40B4-BE49-F238E27FC236}">
                            <a16:creationId xmlns:a16="http://schemas.microsoft.com/office/drawing/2014/main" id="{00000000-0008-0000-0100-0000D2E21A00}"/>
                          </a:ext>
                        </a:extLst>
                      </xdr:cNvPr>
                      <xdr:cNvSpPr>
                        <a:spLocks noChangeArrowheads="1"/>
                      </xdr:cNvSpPr>
                    </xdr:nvSpPr>
                    <xdr:spPr bwMode="auto">
                      <a:xfrm>
                        <a:off x="833" y="900"/>
                        <a:ext cx="62" cy="8"/>
                      </a:xfrm>
                      <a:prstGeom prst="rect">
                        <a:avLst/>
                      </a:prstGeom>
                      <a:solidFill>
                        <a:srgbClr val="C0C0C0"/>
                      </a:solidFill>
                      <a:ln w="19050">
                        <a:solidFill>
                          <a:srgbClr val="C0C0C0"/>
                        </a:solidFill>
                        <a:miter lim="800000"/>
                        <a:headEnd/>
                        <a:tailEnd/>
                      </a:ln>
                    </xdr:spPr>
                  </xdr:sp>
                  <xdr:sp macro="" textlink="">
                    <xdr:nvSpPr>
                      <xdr:cNvPr id="1762003" name="Rectangle 82">
                        <a:extLst>
                          <a:ext uri="{FF2B5EF4-FFF2-40B4-BE49-F238E27FC236}">
                            <a16:creationId xmlns:a16="http://schemas.microsoft.com/office/drawing/2014/main" id="{00000000-0008-0000-0100-0000D3E21A00}"/>
                          </a:ext>
                        </a:extLst>
                      </xdr:cNvPr>
                      <xdr:cNvSpPr>
                        <a:spLocks noChangeArrowheads="1"/>
                      </xdr:cNvSpPr>
                    </xdr:nvSpPr>
                    <xdr:spPr bwMode="auto">
                      <a:xfrm>
                        <a:off x="884" y="901"/>
                        <a:ext cx="11" cy="51"/>
                      </a:xfrm>
                      <a:prstGeom prst="rect">
                        <a:avLst/>
                      </a:prstGeom>
                      <a:solidFill>
                        <a:srgbClr val="C0C0C0"/>
                      </a:solidFill>
                      <a:ln w="19050">
                        <a:solidFill>
                          <a:srgbClr val="C0C0C0"/>
                        </a:solidFill>
                        <a:miter lim="800000"/>
                        <a:headEnd/>
                        <a:tailEnd/>
                      </a:ln>
                    </xdr:spPr>
                  </xdr:sp>
                </xdr:grpSp>
                <xdr:sp macro="" textlink="">
                  <xdr:nvSpPr>
                    <xdr:cNvPr id="1761998" name="Rectangle 83">
                      <a:extLst>
                        <a:ext uri="{FF2B5EF4-FFF2-40B4-BE49-F238E27FC236}">
                          <a16:creationId xmlns:a16="http://schemas.microsoft.com/office/drawing/2014/main" id="{00000000-0008-0000-0100-0000CEE21A00}"/>
                        </a:ext>
                      </a:extLst>
                    </xdr:cNvPr>
                    <xdr:cNvSpPr>
                      <a:spLocks noChangeArrowheads="1"/>
                    </xdr:cNvSpPr>
                  </xdr:nvSpPr>
                  <xdr:spPr bwMode="auto">
                    <a:xfrm>
                      <a:off x="880" y="905"/>
                      <a:ext cx="11" cy="11"/>
                    </a:xfrm>
                    <a:prstGeom prst="rect">
                      <a:avLst/>
                    </a:prstGeom>
                    <a:solidFill>
                      <a:srgbClr val="C0C0C0"/>
                    </a:solidFill>
                    <a:ln w="19050">
                      <a:solidFill>
                        <a:srgbClr val="C0C0C0"/>
                      </a:solidFill>
                      <a:miter lim="800000"/>
                      <a:headEnd/>
                      <a:tailEnd/>
                    </a:ln>
                  </xdr:spPr>
                </xdr:sp>
              </xdr:grpSp>
              <xdr:sp macro="" textlink="">
                <xdr:nvSpPr>
                  <xdr:cNvPr id="1761996" name="Line 84">
                    <a:extLst>
                      <a:ext uri="{FF2B5EF4-FFF2-40B4-BE49-F238E27FC236}">
                        <a16:creationId xmlns:a16="http://schemas.microsoft.com/office/drawing/2014/main" id="{00000000-0008-0000-0100-0000CCE21A00}"/>
                      </a:ext>
                    </a:extLst>
                  </xdr:cNvPr>
                  <xdr:cNvSpPr>
                    <a:spLocks noChangeShapeType="1"/>
                  </xdr:cNvSpPr>
                </xdr:nvSpPr>
                <xdr:spPr bwMode="auto">
                  <a:xfrm>
                    <a:off x="841" y="944"/>
                    <a:ext cx="8" cy="0"/>
                  </a:xfrm>
                  <a:prstGeom prst="line">
                    <a:avLst/>
                  </a:prstGeom>
                  <a:noFill/>
                  <a:ln w="19050">
                    <a:solidFill>
                      <a:srgbClr val="C0C0C0"/>
                    </a:solidFill>
                    <a:round/>
                    <a:headEnd/>
                    <a:tailEnd/>
                  </a:ln>
                  <a:extLst>
                    <a:ext uri="{909E8E84-426E-40DD-AFC4-6F175D3DCCD1}">
                      <a14:hiddenFill xmlns:a14="http://schemas.microsoft.com/office/drawing/2010/main">
                        <a:noFill/>
                      </a14:hiddenFill>
                    </a:ext>
                  </a:extLst>
                </xdr:spPr>
              </xdr:sp>
            </xdr:grpSp>
            <xdr:sp macro="" textlink="">
              <xdr:nvSpPr>
                <xdr:cNvPr id="1761994" name="Line 85">
                  <a:extLst>
                    <a:ext uri="{FF2B5EF4-FFF2-40B4-BE49-F238E27FC236}">
                      <a16:creationId xmlns:a16="http://schemas.microsoft.com/office/drawing/2014/main" id="{00000000-0008-0000-0100-0000CAE21A00}"/>
                    </a:ext>
                  </a:extLst>
                </xdr:cNvPr>
                <xdr:cNvSpPr>
                  <a:spLocks noChangeShapeType="1"/>
                </xdr:cNvSpPr>
              </xdr:nvSpPr>
              <xdr:spPr bwMode="auto">
                <a:xfrm>
                  <a:off x="838" y="908"/>
                  <a:ext cx="11" cy="2"/>
                </a:xfrm>
                <a:prstGeom prst="line">
                  <a:avLst/>
                </a:prstGeom>
                <a:noFill/>
                <a:ln w="19050">
                  <a:solidFill>
                    <a:srgbClr val="C0C0C0"/>
                  </a:solidFill>
                  <a:round/>
                  <a:headEnd/>
                  <a:tailEnd/>
                </a:ln>
                <a:extLst>
                  <a:ext uri="{909E8E84-426E-40DD-AFC4-6F175D3DCCD1}">
                    <a14:hiddenFill xmlns:a14="http://schemas.microsoft.com/office/drawing/2010/main">
                      <a:noFill/>
                    </a14:hiddenFill>
                  </a:ext>
                </a:extLst>
              </xdr:spPr>
            </xdr:sp>
          </xdr:grpSp>
          <xdr:sp macro="" textlink="">
            <xdr:nvSpPr>
              <xdr:cNvPr id="1761992" name="Line 86">
                <a:extLst>
                  <a:ext uri="{FF2B5EF4-FFF2-40B4-BE49-F238E27FC236}">
                    <a16:creationId xmlns:a16="http://schemas.microsoft.com/office/drawing/2014/main" id="{00000000-0008-0000-0100-0000C8E21A00}"/>
                  </a:ext>
                </a:extLst>
              </xdr:cNvPr>
              <xdr:cNvSpPr>
                <a:spLocks noChangeShapeType="1"/>
              </xdr:cNvSpPr>
            </xdr:nvSpPr>
            <xdr:spPr bwMode="auto">
              <a:xfrm>
                <a:off x="879" y="943"/>
                <a:ext cx="8" cy="2"/>
              </a:xfrm>
              <a:prstGeom prst="line">
                <a:avLst/>
              </a:prstGeom>
              <a:noFill/>
              <a:ln w="19050">
                <a:solidFill>
                  <a:srgbClr val="C0C0C0"/>
                </a:solidFill>
                <a:round/>
                <a:headEnd/>
                <a:tailEnd/>
              </a:ln>
              <a:extLst>
                <a:ext uri="{909E8E84-426E-40DD-AFC4-6F175D3DCCD1}">
                  <a14:hiddenFill xmlns:a14="http://schemas.microsoft.com/office/drawing/2010/main">
                    <a:noFill/>
                  </a14:hiddenFill>
                </a:ext>
              </a:extLst>
            </xdr:spPr>
          </xdr:sp>
        </xdr:grpSp>
        <xdr:grpSp>
          <xdr:nvGrpSpPr>
            <xdr:cNvPr id="1761962" name="Group 87">
              <a:extLst>
                <a:ext uri="{FF2B5EF4-FFF2-40B4-BE49-F238E27FC236}">
                  <a16:creationId xmlns:a16="http://schemas.microsoft.com/office/drawing/2014/main" id="{00000000-0008-0000-0100-0000AAE21A00}"/>
                </a:ext>
              </a:extLst>
            </xdr:cNvPr>
            <xdr:cNvGrpSpPr>
              <a:grpSpLocks/>
            </xdr:cNvGrpSpPr>
          </xdr:nvGrpSpPr>
          <xdr:grpSpPr bwMode="auto">
            <a:xfrm>
              <a:off x="833" y="956"/>
              <a:ext cx="62" cy="54"/>
              <a:chOff x="833" y="900"/>
              <a:chExt cx="62" cy="54"/>
            </a:xfrm>
          </xdr:grpSpPr>
          <xdr:grpSp>
            <xdr:nvGrpSpPr>
              <xdr:cNvPr id="1761978" name="Group 88">
                <a:extLst>
                  <a:ext uri="{FF2B5EF4-FFF2-40B4-BE49-F238E27FC236}">
                    <a16:creationId xmlns:a16="http://schemas.microsoft.com/office/drawing/2014/main" id="{00000000-0008-0000-0100-0000BAE21A00}"/>
                  </a:ext>
                </a:extLst>
              </xdr:cNvPr>
              <xdr:cNvGrpSpPr>
                <a:grpSpLocks/>
              </xdr:cNvGrpSpPr>
            </xdr:nvGrpSpPr>
            <xdr:grpSpPr bwMode="auto">
              <a:xfrm>
                <a:off x="833" y="900"/>
                <a:ext cx="62" cy="54"/>
                <a:chOff x="833" y="900"/>
                <a:chExt cx="62" cy="54"/>
              </a:xfrm>
            </xdr:grpSpPr>
            <xdr:grpSp>
              <xdr:nvGrpSpPr>
                <xdr:cNvPr id="1761980" name="Group 89">
                  <a:extLst>
                    <a:ext uri="{FF2B5EF4-FFF2-40B4-BE49-F238E27FC236}">
                      <a16:creationId xmlns:a16="http://schemas.microsoft.com/office/drawing/2014/main" id="{00000000-0008-0000-0100-0000BCE21A00}"/>
                    </a:ext>
                  </a:extLst>
                </xdr:cNvPr>
                <xdr:cNvGrpSpPr>
                  <a:grpSpLocks/>
                </xdr:cNvGrpSpPr>
              </xdr:nvGrpSpPr>
              <xdr:grpSpPr bwMode="auto">
                <a:xfrm>
                  <a:off x="833" y="900"/>
                  <a:ext cx="62" cy="54"/>
                  <a:chOff x="833" y="900"/>
                  <a:chExt cx="62" cy="54"/>
                </a:xfrm>
              </xdr:grpSpPr>
              <xdr:grpSp>
                <xdr:nvGrpSpPr>
                  <xdr:cNvPr id="1761982" name="Group 90">
                    <a:extLst>
                      <a:ext uri="{FF2B5EF4-FFF2-40B4-BE49-F238E27FC236}">
                        <a16:creationId xmlns:a16="http://schemas.microsoft.com/office/drawing/2014/main" id="{00000000-0008-0000-0100-0000BEE21A00}"/>
                      </a:ext>
                    </a:extLst>
                  </xdr:cNvPr>
                  <xdr:cNvGrpSpPr>
                    <a:grpSpLocks/>
                  </xdr:cNvGrpSpPr>
                </xdr:nvGrpSpPr>
                <xdr:grpSpPr bwMode="auto">
                  <a:xfrm>
                    <a:off x="833" y="900"/>
                    <a:ext cx="62" cy="54"/>
                    <a:chOff x="833" y="900"/>
                    <a:chExt cx="62" cy="54"/>
                  </a:xfrm>
                </xdr:grpSpPr>
                <xdr:grpSp>
                  <xdr:nvGrpSpPr>
                    <xdr:cNvPr id="1761984" name="Group 91">
                      <a:extLst>
                        <a:ext uri="{FF2B5EF4-FFF2-40B4-BE49-F238E27FC236}">
                          <a16:creationId xmlns:a16="http://schemas.microsoft.com/office/drawing/2014/main" id="{00000000-0008-0000-0100-0000C0E21A00}"/>
                        </a:ext>
                      </a:extLst>
                    </xdr:cNvPr>
                    <xdr:cNvGrpSpPr>
                      <a:grpSpLocks/>
                    </xdr:cNvGrpSpPr>
                  </xdr:nvGrpSpPr>
                  <xdr:grpSpPr bwMode="auto">
                    <a:xfrm>
                      <a:off x="833" y="900"/>
                      <a:ext cx="62" cy="54"/>
                      <a:chOff x="833" y="900"/>
                      <a:chExt cx="62" cy="54"/>
                    </a:xfrm>
                  </xdr:grpSpPr>
                  <xdr:sp macro="" textlink="">
                    <xdr:nvSpPr>
                      <xdr:cNvPr id="1761986" name="AutoShape 92">
                        <a:extLst>
                          <a:ext uri="{FF2B5EF4-FFF2-40B4-BE49-F238E27FC236}">
                            <a16:creationId xmlns:a16="http://schemas.microsoft.com/office/drawing/2014/main" id="{00000000-0008-0000-0100-0000C2E21A00}"/>
                          </a:ext>
                        </a:extLst>
                      </xdr:cNvPr>
                      <xdr:cNvSpPr>
                        <a:spLocks noChangeArrowheads="1"/>
                      </xdr:cNvSpPr>
                    </xdr:nvSpPr>
                    <xdr:spPr bwMode="auto">
                      <a:xfrm>
                        <a:off x="837" y="902"/>
                        <a:ext cx="53" cy="49"/>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60000 65536"/>
                          <a:gd name="T17" fmla="*/ 0 60000 65536"/>
                          <a:gd name="T18" fmla="*/ 0 60000 65536"/>
                          <a:gd name="T19" fmla="*/ 0 60000 65536"/>
                          <a:gd name="T20" fmla="*/ 0 60000 65536"/>
                          <a:gd name="T21" fmla="*/ 0 60000 65536"/>
                          <a:gd name="T22" fmla="*/ 0 60000 65536"/>
                          <a:gd name="T23" fmla="*/ 0 60000 65536"/>
                          <a:gd name="T24" fmla="*/ 3260 w 21600"/>
                          <a:gd name="T25" fmla="*/ 3086 h 21600"/>
                          <a:gd name="T26" fmla="*/ 18340 w 21600"/>
                          <a:gd name="T27" fmla="*/ 18514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2734" y="10800"/>
                            </a:moveTo>
                            <a:cubicBezTo>
                              <a:pt x="2734" y="15255"/>
                              <a:pt x="6345" y="18866"/>
                              <a:pt x="10800" y="18866"/>
                            </a:cubicBezTo>
                            <a:cubicBezTo>
                              <a:pt x="15255" y="18866"/>
                              <a:pt x="18866" y="15255"/>
                              <a:pt x="18866" y="10800"/>
                            </a:cubicBezTo>
                            <a:cubicBezTo>
                              <a:pt x="18866" y="6345"/>
                              <a:pt x="15255" y="2734"/>
                              <a:pt x="10800" y="2734"/>
                            </a:cubicBezTo>
                            <a:cubicBezTo>
                              <a:pt x="6345" y="2734"/>
                              <a:pt x="2734" y="6345"/>
                              <a:pt x="2734" y="10800"/>
                            </a:cubicBezTo>
                            <a:close/>
                          </a:path>
                        </a:pathLst>
                      </a:custGeom>
                      <a:solidFill>
                        <a:srgbClr val="C0C0C0"/>
                      </a:solidFill>
                      <a:ln w="19050">
                        <a:solidFill>
                          <a:srgbClr val="C0C0C0"/>
                        </a:solidFill>
                        <a:round/>
                        <a:headEnd/>
                        <a:tailEnd/>
                      </a:ln>
                    </xdr:spPr>
                  </xdr:sp>
                  <xdr:sp macro="" textlink="">
                    <xdr:nvSpPr>
                      <xdr:cNvPr id="1761987" name="Rectangle 93">
                        <a:extLst>
                          <a:ext uri="{FF2B5EF4-FFF2-40B4-BE49-F238E27FC236}">
                            <a16:creationId xmlns:a16="http://schemas.microsoft.com/office/drawing/2014/main" id="{00000000-0008-0000-0100-0000C3E21A00}"/>
                          </a:ext>
                        </a:extLst>
                      </xdr:cNvPr>
                      <xdr:cNvSpPr>
                        <a:spLocks noChangeArrowheads="1"/>
                      </xdr:cNvSpPr>
                    </xdr:nvSpPr>
                    <xdr:spPr bwMode="auto">
                      <a:xfrm>
                        <a:off x="833" y="945"/>
                        <a:ext cx="62" cy="9"/>
                      </a:xfrm>
                      <a:prstGeom prst="rect">
                        <a:avLst/>
                      </a:prstGeom>
                      <a:solidFill>
                        <a:srgbClr val="C0C0C0"/>
                      </a:solidFill>
                      <a:ln w="19050">
                        <a:solidFill>
                          <a:srgbClr val="C0C0C0"/>
                        </a:solidFill>
                        <a:miter lim="800000"/>
                        <a:headEnd/>
                        <a:tailEnd/>
                      </a:ln>
                    </xdr:spPr>
                  </xdr:sp>
                  <xdr:sp macro="" textlink="">
                    <xdr:nvSpPr>
                      <xdr:cNvPr id="1761988" name="Rectangle 94">
                        <a:extLst>
                          <a:ext uri="{FF2B5EF4-FFF2-40B4-BE49-F238E27FC236}">
                            <a16:creationId xmlns:a16="http://schemas.microsoft.com/office/drawing/2014/main" id="{00000000-0008-0000-0100-0000C4E21A00}"/>
                          </a:ext>
                        </a:extLst>
                      </xdr:cNvPr>
                      <xdr:cNvSpPr>
                        <a:spLocks noChangeArrowheads="1"/>
                      </xdr:cNvSpPr>
                    </xdr:nvSpPr>
                    <xdr:spPr bwMode="auto">
                      <a:xfrm>
                        <a:off x="833" y="901"/>
                        <a:ext cx="10" cy="51"/>
                      </a:xfrm>
                      <a:prstGeom prst="rect">
                        <a:avLst/>
                      </a:prstGeom>
                      <a:solidFill>
                        <a:srgbClr val="C0C0C0"/>
                      </a:solidFill>
                      <a:ln w="19050">
                        <a:solidFill>
                          <a:srgbClr val="C0C0C0"/>
                        </a:solidFill>
                        <a:miter lim="800000"/>
                        <a:headEnd/>
                        <a:tailEnd/>
                      </a:ln>
                    </xdr:spPr>
                  </xdr:sp>
                  <xdr:sp macro="" textlink="">
                    <xdr:nvSpPr>
                      <xdr:cNvPr id="1761989" name="Rectangle 95">
                        <a:extLst>
                          <a:ext uri="{FF2B5EF4-FFF2-40B4-BE49-F238E27FC236}">
                            <a16:creationId xmlns:a16="http://schemas.microsoft.com/office/drawing/2014/main" id="{00000000-0008-0000-0100-0000C5E21A00}"/>
                          </a:ext>
                        </a:extLst>
                      </xdr:cNvPr>
                      <xdr:cNvSpPr>
                        <a:spLocks noChangeArrowheads="1"/>
                      </xdr:cNvSpPr>
                    </xdr:nvSpPr>
                    <xdr:spPr bwMode="auto">
                      <a:xfrm>
                        <a:off x="833" y="900"/>
                        <a:ext cx="62" cy="8"/>
                      </a:xfrm>
                      <a:prstGeom prst="rect">
                        <a:avLst/>
                      </a:prstGeom>
                      <a:solidFill>
                        <a:srgbClr val="C0C0C0"/>
                      </a:solidFill>
                      <a:ln w="19050">
                        <a:solidFill>
                          <a:srgbClr val="C0C0C0"/>
                        </a:solidFill>
                        <a:miter lim="800000"/>
                        <a:headEnd/>
                        <a:tailEnd/>
                      </a:ln>
                    </xdr:spPr>
                  </xdr:sp>
                  <xdr:sp macro="" textlink="">
                    <xdr:nvSpPr>
                      <xdr:cNvPr id="1761990" name="Rectangle 96">
                        <a:extLst>
                          <a:ext uri="{FF2B5EF4-FFF2-40B4-BE49-F238E27FC236}">
                            <a16:creationId xmlns:a16="http://schemas.microsoft.com/office/drawing/2014/main" id="{00000000-0008-0000-0100-0000C6E21A00}"/>
                          </a:ext>
                        </a:extLst>
                      </xdr:cNvPr>
                      <xdr:cNvSpPr>
                        <a:spLocks noChangeArrowheads="1"/>
                      </xdr:cNvSpPr>
                    </xdr:nvSpPr>
                    <xdr:spPr bwMode="auto">
                      <a:xfrm>
                        <a:off x="884" y="901"/>
                        <a:ext cx="11" cy="51"/>
                      </a:xfrm>
                      <a:prstGeom prst="rect">
                        <a:avLst/>
                      </a:prstGeom>
                      <a:solidFill>
                        <a:srgbClr val="C0C0C0"/>
                      </a:solidFill>
                      <a:ln w="19050">
                        <a:solidFill>
                          <a:srgbClr val="C0C0C0"/>
                        </a:solidFill>
                        <a:miter lim="800000"/>
                        <a:headEnd/>
                        <a:tailEnd/>
                      </a:ln>
                    </xdr:spPr>
                  </xdr:sp>
                </xdr:grpSp>
                <xdr:sp macro="" textlink="">
                  <xdr:nvSpPr>
                    <xdr:cNvPr id="1761985" name="Rectangle 97">
                      <a:extLst>
                        <a:ext uri="{FF2B5EF4-FFF2-40B4-BE49-F238E27FC236}">
                          <a16:creationId xmlns:a16="http://schemas.microsoft.com/office/drawing/2014/main" id="{00000000-0008-0000-0100-0000C1E21A00}"/>
                        </a:ext>
                      </a:extLst>
                    </xdr:cNvPr>
                    <xdr:cNvSpPr>
                      <a:spLocks noChangeArrowheads="1"/>
                    </xdr:cNvSpPr>
                  </xdr:nvSpPr>
                  <xdr:spPr bwMode="auto">
                    <a:xfrm>
                      <a:off x="880" y="905"/>
                      <a:ext cx="11" cy="11"/>
                    </a:xfrm>
                    <a:prstGeom prst="rect">
                      <a:avLst/>
                    </a:prstGeom>
                    <a:solidFill>
                      <a:srgbClr val="C0C0C0"/>
                    </a:solidFill>
                    <a:ln w="19050">
                      <a:solidFill>
                        <a:srgbClr val="C0C0C0"/>
                      </a:solidFill>
                      <a:miter lim="800000"/>
                      <a:headEnd/>
                      <a:tailEnd/>
                    </a:ln>
                  </xdr:spPr>
                </xdr:sp>
              </xdr:grpSp>
              <xdr:sp macro="" textlink="">
                <xdr:nvSpPr>
                  <xdr:cNvPr id="1761983" name="Line 98">
                    <a:extLst>
                      <a:ext uri="{FF2B5EF4-FFF2-40B4-BE49-F238E27FC236}">
                        <a16:creationId xmlns:a16="http://schemas.microsoft.com/office/drawing/2014/main" id="{00000000-0008-0000-0100-0000BFE21A00}"/>
                      </a:ext>
                    </a:extLst>
                  </xdr:cNvPr>
                  <xdr:cNvSpPr>
                    <a:spLocks noChangeShapeType="1"/>
                  </xdr:cNvSpPr>
                </xdr:nvSpPr>
                <xdr:spPr bwMode="auto">
                  <a:xfrm>
                    <a:off x="841" y="944"/>
                    <a:ext cx="8" cy="0"/>
                  </a:xfrm>
                  <a:prstGeom prst="line">
                    <a:avLst/>
                  </a:prstGeom>
                  <a:noFill/>
                  <a:ln w="19050">
                    <a:solidFill>
                      <a:srgbClr val="C0C0C0"/>
                    </a:solidFill>
                    <a:round/>
                    <a:headEnd/>
                    <a:tailEnd/>
                  </a:ln>
                  <a:extLst>
                    <a:ext uri="{909E8E84-426E-40DD-AFC4-6F175D3DCCD1}">
                      <a14:hiddenFill xmlns:a14="http://schemas.microsoft.com/office/drawing/2010/main">
                        <a:noFill/>
                      </a14:hiddenFill>
                    </a:ext>
                  </a:extLst>
                </xdr:spPr>
              </xdr:sp>
            </xdr:grpSp>
            <xdr:sp macro="" textlink="">
              <xdr:nvSpPr>
                <xdr:cNvPr id="1761981" name="Line 99">
                  <a:extLst>
                    <a:ext uri="{FF2B5EF4-FFF2-40B4-BE49-F238E27FC236}">
                      <a16:creationId xmlns:a16="http://schemas.microsoft.com/office/drawing/2014/main" id="{00000000-0008-0000-0100-0000BDE21A00}"/>
                    </a:ext>
                  </a:extLst>
                </xdr:cNvPr>
                <xdr:cNvSpPr>
                  <a:spLocks noChangeShapeType="1"/>
                </xdr:cNvSpPr>
              </xdr:nvSpPr>
              <xdr:spPr bwMode="auto">
                <a:xfrm>
                  <a:off x="838" y="908"/>
                  <a:ext cx="11" cy="2"/>
                </a:xfrm>
                <a:prstGeom prst="line">
                  <a:avLst/>
                </a:prstGeom>
                <a:noFill/>
                <a:ln w="19050">
                  <a:solidFill>
                    <a:srgbClr val="C0C0C0"/>
                  </a:solidFill>
                  <a:round/>
                  <a:headEnd/>
                  <a:tailEnd/>
                </a:ln>
                <a:extLst>
                  <a:ext uri="{909E8E84-426E-40DD-AFC4-6F175D3DCCD1}">
                    <a14:hiddenFill xmlns:a14="http://schemas.microsoft.com/office/drawing/2010/main">
                      <a:noFill/>
                    </a14:hiddenFill>
                  </a:ext>
                </a:extLst>
              </xdr:spPr>
            </xdr:sp>
          </xdr:grpSp>
          <xdr:sp macro="" textlink="">
            <xdr:nvSpPr>
              <xdr:cNvPr id="1761979" name="Line 100">
                <a:extLst>
                  <a:ext uri="{FF2B5EF4-FFF2-40B4-BE49-F238E27FC236}">
                    <a16:creationId xmlns:a16="http://schemas.microsoft.com/office/drawing/2014/main" id="{00000000-0008-0000-0100-0000BBE21A00}"/>
                  </a:ext>
                </a:extLst>
              </xdr:cNvPr>
              <xdr:cNvSpPr>
                <a:spLocks noChangeShapeType="1"/>
              </xdr:cNvSpPr>
            </xdr:nvSpPr>
            <xdr:spPr bwMode="auto">
              <a:xfrm>
                <a:off x="879" y="943"/>
                <a:ext cx="8" cy="2"/>
              </a:xfrm>
              <a:prstGeom prst="line">
                <a:avLst/>
              </a:prstGeom>
              <a:noFill/>
              <a:ln w="19050">
                <a:solidFill>
                  <a:srgbClr val="C0C0C0"/>
                </a:solidFill>
                <a:round/>
                <a:headEnd/>
                <a:tailEnd/>
              </a:ln>
              <a:extLst>
                <a:ext uri="{909E8E84-426E-40DD-AFC4-6F175D3DCCD1}">
                  <a14:hiddenFill xmlns:a14="http://schemas.microsoft.com/office/drawing/2010/main">
                    <a:noFill/>
                  </a14:hiddenFill>
                </a:ext>
              </a:extLst>
            </xdr:spPr>
          </xdr:sp>
        </xdr:grpSp>
        <xdr:grpSp>
          <xdr:nvGrpSpPr>
            <xdr:cNvPr id="1761963" name="Group 101">
              <a:extLst>
                <a:ext uri="{FF2B5EF4-FFF2-40B4-BE49-F238E27FC236}">
                  <a16:creationId xmlns:a16="http://schemas.microsoft.com/office/drawing/2014/main" id="{00000000-0008-0000-0100-0000ABE21A00}"/>
                </a:ext>
              </a:extLst>
            </xdr:cNvPr>
            <xdr:cNvGrpSpPr>
              <a:grpSpLocks/>
            </xdr:cNvGrpSpPr>
          </xdr:nvGrpSpPr>
          <xdr:grpSpPr bwMode="auto">
            <a:xfrm>
              <a:off x="833" y="1012"/>
              <a:ext cx="62" cy="54"/>
              <a:chOff x="833" y="900"/>
              <a:chExt cx="62" cy="54"/>
            </a:xfrm>
          </xdr:grpSpPr>
          <xdr:grpSp>
            <xdr:nvGrpSpPr>
              <xdr:cNvPr id="1761965" name="Group 102">
                <a:extLst>
                  <a:ext uri="{FF2B5EF4-FFF2-40B4-BE49-F238E27FC236}">
                    <a16:creationId xmlns:a16="http://schemas.microsoft.com/office/drawing/2014/main" id="{00000000-0008-0000-0100-0000ADE21A00}"/>
                  </a:ext>
                </a:extLst>
              </xdr:cNvPr>
              <xdr:cNvGrpSpPr>
                <a:grpSpLocks/>
              </xdr:cNvGrpSpPr>
            </xdr:nvGrpSpPr>
            <xdr:grpSpPr bwMode="auto">
              <a:xfrm>
                <a:off x="833" y="900"/>
                <a:ext cx="62" cy="54"/>
                <a:chOff x="833" y="900"/>
                <a:chExt cx="62" cy="54"/>
              </a:xfrm>
            </xdr:grpSpPr>
            <xdr:grpSp>
              <xdr:nvGrpSpPr>
                <xdr:cNvPr id="1761967" name="Group 103">
                  <a:extLst>
                    <a:ext uri="{FF2B5EF4-FFF2-40B4-BE49-F238E27FC236}">
                      <a16:creationId xmlns:a16="http://schemas.microsoft.com/office/drawing/2014/main" id="{00000000-0008-0000-0100-0000AFE21A00}"/>
                    </a:ext>
                  </a:extLst>
                </xdr:cNvPr>
                <xdr:cNvGrpSpPr>
                  <a:grpSpLocks/>
                </xdr:cNvGrpSpPr>
              </xdr:nvGrpSpPr>
              <xdr:grpSpPr bwMode="auto">
                <a:xfrm>
                  <a:off x="833" y="900"/>
                  <a:ext cx="62" cy="54"/>
                  <a:chOff x="833" y="900"/>
                  <a:chExt cx="62" cy="54"/>
                </a:xfrm>
              </xdr:grpSpPr>
              <xdr:grpSp>
                <xdr:nvGrpSpPr>
                  <xdr:cNvPr id="1761969" name="Group 104">
                    <a:extLst>
                      <a:ext uri="{FF2B5EF4-FFF2-40B4-BE49-F238E27FC236}">
                        <a16:creationId xmlns:a16="http://schemas.microsoft.com/office/drawing/2014/main" id="{00000000-0008-0000-0100-0000B1E21A00}"/>
                      </a:ext>
                    </a:extLst>
                  </xdr:cNvPr>
                  <xdr:cNvGrpSpPr>
                    <a:grpSpLocks/>
                  </xdr:cNvGrpSpPr>
                </xdr:nvGrpSpPr>
                <xdr:grpSpPr bwMode="auto">
                  <a:xfrm>
                    <a:off x="833" y="900"/>
                    <a:ext cx="62" cy="54"/>
                    <a:chOff x="833" y="900"/>
                    <a:chExt cx="62" cy="54"/>
                  </a:xfrm>
                </xdr:grpSpPr>
                <xdr:grpSp>
                  <xdr:nvGrpSpPr>
                    <xdr:cNvPr id="1761971" name="Group 105">
                      <a:extLst>
                        <a:ext uri="{FF2B5EF4-FFF2-40B4-BE49-F238E27FC236}">
                          <a16:creationId xmlns:a16="http://schemas.microsoft.com/office/drawing/2014/main" id="{00000000-0008-0000-0100-0000B3E21A00}"/>
                        </a:ext>
                      </a:extLst>
                    </xdr:cNvPr>
                    <xdr:cNvGrpSpPr>
                      <a:grpSpLocks/>
                    </xdr:cNvGrpSpPr>
                  </xdr:nvGrpSpPr>
                  <xdr:grpSpPr bwMode="auto">
                    <a:xfrm>
                      <a:off x="833" y="900"/>
                      <a:ext cx="62" cy="54"/>
                      <a:chOff x="833" y="900"/>
                      <a:chExt cx="62" cy="54"/>
                    </a:xfrm>
                  </xdr:grpSpPr>
                  <xdr:sp macro="" textlink="">
                    <xdr:nvSpPr>
                      <xdr:cNvPr id="1761973" name="AutoShape 106">
                        <a:extLst>
                          <a:ext uri="{FF2B5EF4-FFF2-40B4-BE49-F238E27FC236}">
                            <a16:creationId xmlns:a16="http://schemas.microsoft.com/office/drawing/2014/main" id="{00000000-0008-0000-0100-0000B5E21A00}"/>
                          </a:ext>
                        </a:extLst>
                      </xdr:cNvPr>
                      <xdr:cNvSpPr>
                        <a:spLocks noChangeArrowheads="1"/>
                      </xdr:cNvSpPr>
                    </xdr:nvSpPr>
                    <xdr:spPr bwMode="auto">
                      <a:xfrm>
                        <a:off x="837" y="902"/>
                        <a:ext cx="53" cy="49"/>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60000 65536"/>
                          <a:gd name="T17" fmla="*/ 0 60000 65536"/>
                          <a:gd name="T18" fmla="*/ 0 60000 65536"/>
                          <a:gd name="T19" fmla="*/ 0 60000 65536"/>
                          <a:gd name="T20" fmla="*/ 0 60000 65536"/>
                          <a:gd name="T21" fmla="*/ 0 60000 65536"/>
                          <a:gd name="T22" fmla="*/ 0 60000 65536"/>
                          <a:gd name="T23" fmla="*/ 0 60000 65536"/>
                          <a:gd name="T24" fmla="*/ 3260 w 21600"/>
                          <a:gd name="T25" fmla="*/ 3086 h 21600"/>
                          <a:gd name="T26" fmla="*/ 18340 w 21600"/>
                          <a:gd name="T27" fmla="*/ 18514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2734" y="10800"/>
                            </a:moveTo>
                            <a:cubicBezTo>
                              <a:pt x="2734" y="15255"/>
                              <a:pt x="6345" y="18866"/>
                              <a:pt x="10800" y="18866"/>
                            </a:cubicBezTo>
                            <a:cubicBezTo>
                              <a:pt x="15255" y="18866"/>
                              <a:pt x="18866" y="15255"/>
                              <a:pt x="18866" y="10800"/>
                            </a:cubicBezTo>
                            <a:cubicBezTo>
                              <a:pt x="18866" y="6345"/>
                              <a:pt x="15255" y="2734"/>
                              <a:pt x="10800" y="2734"/>
                            </a:cubicBezTo>
                            <a:cubicBezTo>
                              <a:pt x="6345" y="2734"/>
                              <a:pt x="2734" y="6345"/>
                              <a:pt x="2734" y="10800"/>
                            </a:cubicBezTo>
                            <a:close/>
                          </a:path>
                        </a:pathLst>
                      </a:custGeom>
                      <a:solidFill>
                        <a:srgbClr val="C0C0C0"/>
                      </a:solidFill>
                      <a:ln w="19050">
                        <a:solidFill>
                          <a:srgbClr val="C0C0C0"/>
                        </a:solidFill>
                        <a:round/>
                        <a:headEnd/>
                        <a:tailEnd/>
                      </a:ln>
                    </xdr:spPr>
                  </xdr:sp>
                  <xdr:sp macro="" textlink="">
                    <xdr:nvSpPr>
                      <xdr:cNvPr id="1761974" name="Rectangle 107">
                        <a:extLst>
                          <a:ext uri="{FF2B5EF4-FFF2-40B4-BE49-F238E27FC236}">
                            <a16:creationId xmlns:a16="http://schemas.microsoft.com/office/drawing/2014/main" id="{00000000-0008-0000-0100-0000B6E21A00}"/>
                          </a:ext>
                        </a:extLst>
                      </xdr:cNvPr>
                      <xdr:cNvSpPr>
                        <a:spLocks noChangeArrowheads="1"/>
                      </xdr:cNvSpPr>
                    </xdr:nvSpPr>
                    <xdr:spPr bwMode="auto">
                      <a:xfrm>
                        <a:off x="833" y="945"/>
                        <a:ext cx="62" cy="9"/>
                      </a:xfrm>
                      <a:prstGeom prst="rect">
                        <a:avLst/>
                      </a:prstGeom>
                      <a:solidFill>
                        <a:srgbClr val="C0C0C0"/>
                      </a:solidFill>
                      <a:ln w="19050">
                        <a:solidFill>
                          <a:srgbClr val="C0C0C0"/>
                        </a:solidFill>
                        <a:miter lim="800000"/>
                        <a:headEnd/>
                        <a:tailEnd/>
                      </a:ln>
                    </xdr:spPr>
                  </xdr:sp>
                  <xdr:sp macro="" textlink="">
                    <xdr:nvSpPr>
                      <xdr:cNvPr id="1761975" name="Rectangle 108">
                        <a:extLst>
                          <a:ext uri="{FF2B5EF4-FFF2-40B4-BE49-F238E27FC236}">
                            <a16:creationId xmlns:a16="http://schemas.microsoft.com/office/drawing/2014/main" id="{00000000-0008-0000-0100-0000B7E21A00}"/>
                          </a:ext>
                        </a:extLst>
                      </xdr:cNvPr>
                      <xdr:cNvSpPr>
                        <a:spLocks noChangeArrowheads="1"/>
                      </xdr:cNvSpPr>
                    </xdr:nvSpPr>
                    <xdr:spPr bwMode="auto">
                      <a:xfrm>
                        <a:off x="833" y="901"/>
                        <a:ext cx="10" cy="51"/>
                      </a:xfrm>
                      <a:prstGeom prst="rect">
                        <a:avLst/>
                      </a:prstGeom>
                      <a:solidFill>
                        <a:srgbClr val="C0C0C0"/>
                      </a:solidFill>
                      <a:ln w="19050">
                        <a:solidFill>
                          <a:srgbClr val="C0C0C0"/>
                        </a:solidFill>
                        <a:miter lim="800000"/>
                        <a:headEnd/>
                        <a:tailEnd/>
                      </a:ln>
                    </xdr:spPr>
                  </xdr:sp>
                  <xdr:sp macro="" textlink="">
                    <xdr:nvSpPr>
                      <xdr:cNvPr id="1761976" name="Rectangle 109">
                        <a:extLst>
                          <a:ext uri="{FF2B5EF4-FFF2-40B4-BE49-F238E27FC236}">
                            <a16:creationId xmlns:a16="http://schemas.microsoft.com/office/drawing/2014/main" id="{00000000-0008-0000-0100-0000B8E21A00}"/>
                          </a:ext>
                        </a:extLst>
                      </xdr:cNvPr>
                      <xdr:cNvSpPr>
                        <a:spLocks noChangeArrowheads="1"/>
                      </xdr:cNvSpPr>
                    </xdr:nvSpPr>
                    <xdr:spPr bwMode="auto">
                      <a:xfrm>
                        <a:off x="833" y="900"/>
                        <a:ext cx="62" cy="8"/>
                      </a:xfrm>
                      <a:prstGeom prst="rect">
                        <a:avLst/>
                      </a:prstGeom>
                      <a:solidFill>
                        <a:srgbClr val="C0C0C0"/>
                      </a:solidFill>
                      <a:ln w="19050">
                        <a:solidFill>
                          <a:srgbClr val="C0C0C0"/>
                        </a:solidFill>
                        <a:miter lim="800000"/>
                        <a:headEnd/>
                        <a:tailEnd/>
                      </a:ln>
                    </xdr:spPr>
                  </xdr:sp>
                  <xdr:sp macro="" textlink="">
                    <xdr:nvSpPr>
                      <xdr:cNvPr id="1761977" name="Rectangle 110">
                        <a:extLst>
                          <a:ext uri="{FF2B5EF4-FFF2-40B4-BE49-F238E27FC236}">
                            <a16:creationId xmlns:a16="http://schemas.microsoft.com/office/drawing/2014/main" id="{00000000-0008-0000-0100-0000B9E21A00}"/>
                          </a:ext>
                        </a:extLst>
                      </xdr:cNvPr>
                      <xdr:cNvSpPr>
                        <a:spLocks noChangeArrowheads="1"/>
                      </xdr:cNvSpPr>
                    </xdr:nvSpPr>
                    <xdr:spPr bwMode="auto">
                      <a:xfrm>
                        <a:off x="884" y="901"/>
                        <a:ext cx="11" cy="51"/>
                      </a:xfrm>
                      <a:prstGeom prst="rect">
                        <a:avLst/>
                      </a:prstGeom>
                      <a:solidFill>
                        <a:srgbClr val="C0C0C0"/>
                      </a:solidFill>
                      <a:ln w="19050">
                        <a:solidFill>
                          <a:srgbClr val="C0C0C0"/>
                        </a:solidFill>
                        <a:miter lim="800000"/>
                        <a:headEnd/>
                        <a:tailEnd/>
                      </a:ln>
                    </xdr:spPr>
                  </xdr:sp>
                </xdr:grpSp>
                <xdr:sp macro="" textlink="">
                  <xdr:nvSpPr>
                    <xdr:cNvPr id="1761972" name="Rectangle 111">
                      <a:extLst>
                        <a:ext uri="{FF2B5EF4-FFF2-40B4-BE49-F238E27FC236}">
                          <a16:creationId xmlns:a16="http://schemas.microsoft.com/office/drawing/2014/main" id="{00000000-0008-0000-0100-0000B4E21A00}"/>
                        </a:ext>
                      </a:extLst>
                    </xdr:cNvPr>
                    <xdr:cNvSpPr>
                      <a:spLocks noChangeArrowheads="1"/>
                    </xdr:cNvSpPr>
                  </xdr:nvSpPr>
                  <xdr:spPr bwMode="auto">
                    <a:xfrm>
                      <a:off x="880" y="905"/>
                      <a:ext cx="11" cy="11"/>
                    </a:xfrm>
                    <a:prstGeom prst="rect">
                      <a:avLst/>
                    </a:prstGeom>
                    <a:solidFill>
                      <a:srgbClr val="C0C0C0"/>
                    </a:solidFill>
                    <a:ln w="19050">
                      <a:solidFill>
                        <a:srgbClr val="C0C0C0"/>
                      </a:solidFill>
                      <a:miter lim="800000"/>
                      <a:headEnd/>
                      <a:tailEnd/>
                    </a:ln>
                  </xdr:spPr>
                </xdr:sp>
              </xdr:grpSp>
              <xdr:sp macro="" textlink="">
                <xdr:nvSpPr>
                  <xdr:cNvPr id="1761970" name="Line 112">
                    <a:extLst>
                      <a:ext uri="{FF2B5EF4-FFF2-40B4-BE49-F238E27FC236}">
                        <a16:creationId xmlns:a16="http://schemas.microsoft.com/office/drawing/2014/main" id="{00000000-0008-0000-0100-0000B2E21A00}"/>
                      </a:ext>
                    </a:extLst>
                  </xdr:cNvPr>
                  <xdr:cNvSpPr>
                    <a:spLocks noChangeShapeType="1"/>
                  </xdr:cNvSpPr>
                </xdr:nvSpPr>
                <xdr:spPr bwMode="auto">
                  <a:xfrm>
                    <a:off x="841" y="944"/>
                    <a:ext cx="8" cy="0"/>
                  </a:xfrm>
                  <a:prstGeom prst="line">
                    <a:avLst/>
                  </a:prstGeom>
                  <a:noFill/>
                  <a:ln w="19050">
                    <a:solidFill>
                      <a:srgbClr val="C0C0C0"/>
                    </a:solidFill>
                    <a:round/>
                    <a:headEnd/>
                    <a:tailEnd/>
                  </a:ln>
                  <a:extLst>
                    <a:ext uri="{909E8E84-426E-40DD-AFC4-6F175D3DCCD1}">
                      <a14:hiddenFill xmlns:a14="http://schemas.microsoft.com/office/drawing/2010/main">
                        <a:noFill/>
                      </a14:hiddenFill>
                    </a:ext>
                  </a:extLst>
                </xdr:spPr>
              </xdr:sp>
            </xdr:grpSp>
            <xdr:sp macro="" textlink="">
              <xdr:nvSpPr>
                <xdr:cNvPr id="1761968" name="Line 113">
                  <a:extLst>
                    <a:ext uri="{FF2B5EF4-FFF2-40B4-BE49-F238E27FC236}">
                      <a16:creationId xmlns:a16="http://schemas.microsoft.com/office/drawing/2014/main" id="{00000000-0008-0000-0100-0000B0E21A00}"/>
                    </a:ext>
                  </a:extLst>
                </xdr:cNvPr>
                <xdr:cNvSpPr>
                  <a:spLocks noChangeShapeType="1"/>
                </xdr:cNvSpPr>
              </xdr:nvSpPr>
              <xdr:spPr bwMode="auto">
                <a:xfrm>
                  <a:off x="838" y="908"/>
                  <a:ext cx="11" cy="2"/>
                </a:xfrm>
                <a:prstGeom prst="line">
                  <a:avLst/>
                </a:prstGeom>
                <a:noFill/>
                <a:ln w="19050">
                  <a:solidFill>
                    <a:srgbClr val="C0C0C0"/>
                  </a:solidFill>
                  <a:round/>
                  <a:headEnd/>
                  <a:tailEnd/>
                </a:ln>
                <a:extLst>
                  <a:ext uri="{909E8E84-426E-40DD-AFC4-6F175D3DCCD1}">
                    <a14:hiddenFill xmlns:a14="http://schemas.microsoft.com/office/drawing/2010/main">
                      <a:noFill/>
                    </a14:hiddenFill>
                  </a:ext>
                </a:extLst>
              </xdr:spPr>
            </xdr:sp>
          </xdr:grpSp>
          <xdr:sp macro="" textlink="">
            <xdr:nvSpPr>
              <xdr:cNvPr id="1761966" name="Line 114">
                <a:extLst>
                  <a:ext uri="{FF2B5EF4-FFF2-40B4-BE49-F238E27FC236}">
                    <a16:creationId xmlns:a16="http://schemas.microsoft.com/office/drawing/2014/main" id="{00000000-0008-0000-0100-0000AEE21A00}"/>
                  </a:ext>
                </a:extLst>
              </xdr:cNvPr>
              <xdr:cNvSpPr>
                <a:spLocks noChangeShapeType="1"/>
              </xdr:cNvSpPr>
            </xdr:nvSpPr>
            <xdr:spPr bwMode="auto">
              <a:xfrm>
                <a:off x="879" y="943"/>
                <a:ext cx="8" cy="2"/>
              </a:xfrm>
              <a:prstGeom prst="line">
                <a:avLst/>
              </a:prstGeom>
              <a:noFill/>
              <a:ln w="19050">
                <a:solidFill>
                  <a:srgbClr val="C0C0C0"/>
                </a:solidFill>
                <a:round/>
                <a:headEnd/>
                <a:tailEnd/>
              </a:ln>
              <a:extLst>
                <a:ext uri="{909E8E84-426E-40DD-AFC4-6F175D3DCCD1}">
                  <a14:hiddenFill xmlns:a14="http://schemas.microsoft.com/office/drawing/2010/main">
                    <a:noFill/>
                  </a14:hiddenFill>
                </a:ext>
              </a:extLst>
            </xdr:spPr>
          </xdr:sp>
        </xdr:grpSp>
        <xdr:sp macro="" textlink="">
          <xdr:nvSpPr>
            <xdr:cNvPr id="1761964" name="Rectangle 115">
              <a:extLst>
                <a:ext uri="{FF2B5EF4-FFF2-40B4-BE49-F238E27FC236}">
                  <a16:creationId xmlns:a16="http://schemas.microsoft.com/office/drawing/2014/main" id="{00000000-0008-0000-0100-0000ACE21A00}"/>
                </a:ext>
              </a:extLst>
            </xdr:cNvPr>
            <xdr:cNvSpPr>
              <a:spLocks noChangeArrowheads="1"/>
            </xdr:cNvSpPr>
          </xdr:nvSpPr>
          <xdr:spPr bwMode="auto">
            <a:xfrm>
              <a:off x="832" y="900"/>
              <a:ext cx="64" cy="161"/>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sp macro="" textlink="">
        <xdr:nvSpPr>
          <xdr:cNvPr id="1761959" name="Line 116">
            <a:extLst>
              <a:ext uri="{FF2B5EF4-FFF2-40B4-BE49-F238E27FC236}">
                <a16:creationId xmlns:a16="http://schemas.microsoft.com/office/drawing/2014/main" id="{00000000-0008-0000-0100-0000A7E21A00}"/>
              </a:ext>
            </a:extLst>
          </xdr:cNvPr>
          <xdr:cNvSpPr>
            <a:spLocks noChangeShapeType="1"/>
          </xdr:cNvSpPr>
        </xdr:nvSpPr>
        <xdr:spPr bwMode="auto">
          <a:xfrm>
            <a:off x="832" y="954"/>
            <a:ext cx="64"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61960" name="Line 117">
            <a:extLst>
              <a:ext uri="{FF2B5EF4-FFF2-40B4-BE49-F238E27FC236}">
                <a16:creationId xmlns:a16="http://schemas.microsoft.com/office/drawing/2014/main" id="{00000000-0008-0000-0100-0000A8E21A00}"/>
              </a:ext>
            </a:extLst>
          </xdr:cNvPr>
          <xdr:cNvSpPr>
            <a:spLocks noChangeShapeType="1"/>
          </xdr:cNvSpPr>
        </xdr:nvSpPr>
        <xdr:spPr bwMode="auto">
          <a:xfrm>
            <a:off x="832" y="1009"/>
            <a:ext cx="63"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16</xdr:col>
      <xdr:colOff>361950</xdr:colOff>
      <xdr:row>1</xdr:row>
      <xdr:rowOff>104775</xdr:rowOff>
    </xdr:from>
    <xdr:to>
      <xdr:col>25</xdr:col>
      <xdr:colOff>66675</xdr:colOff>
      <xdr:row>2</xdr:row>
      <xdr:rowOff>133350</xdr:rowOff>
    </xdr:to>
    <xdr:pic>
      <xdr:nvPicPr>
        <xdr:cNvPr id="1761955" name="Picture 162" descr="Knorr-Bremse">
          <a:extLst>
            <a:ext uri="{FF2B5EF4-FFF2-40B4-BE49-F238E27FC236}">
              <a16:creationId xmlns:a16="http://schemas.microsoft.com/office/drawing/2014/main" id="{00000000-0008-0000-0100-0000A3E21A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86350" y="371475"/>
          <a:ext cx="22955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22</xdr:col>
          <xdr:colOff>198120</xdr:colOff>
          <xdr:row>0</xdr:row>
          <xdr:rowOff>38100</xdr:rowOff>
        </xdr:from>
        <xdr:to>
          <xdr:col>26</xdr:col>
          <xdr:colOff>76200</xdr:colOff>
          <xdr:row>0</xdr:row>
          <xdr:rowOff>236220</xdr:rowOff>
        </xdr:to>
        <xdr:sp macro="" textlink="">
          <xdr:nvSpPr>
            <xdr:cNvPr id="3228" name="Drop Down 156" hidden="1">
              <a:extLst>
                <a:ext uri="{63B3BB69-23CF-44E3-9099-C40C66FF867C}">
                  <a14:compatExt spid="_x0000_s3228"/>
                </a:ext>
                <a:ext uri="{FF2B5EF4-FFF2-40B4-BE49-F238E27FC236}">
                  <a16:creationId xmlns:a16="http://schemas.microsoft.com/office/drawing/2014/main" id="{00000000-0008-0000-0100-00009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10</xdr:col>
      <xdr:colOff>400050</xdr:colOff>
      <xdr:row>73</xdr:row>
      <xdr:rowOff>76200</xdr:rowOff>
    </xdr:from>
    <xdr:to>
      <xdr:col>24</xdr:col>
      <xdr:colOff>428625</xdr:colOff>
      <xdr:row>83</xdr:row>
      <xdr:rowOff>400050</xdr:rowOff>
    </xdr:to>
    <xdr:graphicFrame macro="">
      <xdr:nvGraphicFramePr>
        <xdr:cNvPr id="1761956" name="Diagramm 2">
          <a:extLst>
            <a:ext uri="{FF2B5EF4-FFF2-40B4-BE49-F238E27FC236}">
              <a16:creationId xmlns:a16="http://schemas.microsoft.com/office/drawing/2014/main" id="{00000000-0008-0000-0100-0000A4E21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xdr:colOff>
      <xdr:row>73</xdr:row>
      <xdr:rowOff>57150</xdr:rowOff>
    </xdr:from>
    <xdr:to>
      <xdr:col>10</xdr:col>
      <xdr:colOff>0</xdr:colOff>
      <xdr:row>83</xdr:row>
      <xdr:rowOff>400050</xdr:rowOff>
    </xdr:to>
    <xdr:graphicFrame macro="">
      <xdr:nvGraphicFramePr>
        <xdr:cNvPr id="1761957" name="Diagramm 3">
          <a:extLst>
            <a:ext uri="{FF2B5EF4-FFF2-40B4-BE49-F238E27FC236}">
              <a16:creationId xmlns:a16="http://schemas.microsoft.com/office/drawing/2014/main" id="{00000000-0008-0000-0100-0000A5E21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16</xdr:col>
      <xdr:colOff>361950</xdr:colOff>
      <xdr:row>1</xdr:row>
      <xdr:rowOff>104775</xdr:rowOff>
    </xdr:from>
    <xdr:to>
      <xdr:col>25</xdr:col>
      <xdr:colOff>66675</xdr:colOff>
      <xdr:row>2</xdr:row>
      <xdr:rowOff>133350</xdr:rowOff>
    </xdr:to>
    <xdr:pic>
      <xdr:nvPicPr>
        <xdr:cNvPr id="1309802" name="Picture 162" descr="Knorr-Bremse">
          <a:extLst>
            <a:ext uri="{FF2B5EF4-FFF2-40B4-BE49-F238E27FC236}">
              <a16:creationId xmlns:a16="http://schemas.microsoft.com/office/drawing/2014/main" id="{00000000-0008-0000-0200-00006AFC1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86350" y="371475"/>
          <a:ext cx="2305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22</xdr:col>
          <xdr:colOff>198120</xdr:colOff>
          <xdr:row>0</xdr:row>
          <xdr:rowOff>38100</xdr:rowOff>
        </xdr:from>
        <xdr:to>
          <xdr:col>26</xdr:col>
          <xdr:colOff>121920</xdr:colOff>
          <xdr:row>0</xdr:row>
          <xdr:rowOff>236220</xdr:rowOff>
        </xdr:to>
        <xdr:sp macro="" textlink="">
          <xdr:nvSpPr>
            <xdr:cNvPr id="1309697" name="Drop Down 1" hidden="1">
              <a:extLst>
                <a:ext uri="{63B3BB69-23CF-44E3-9099-C40C66FF867C}">
                  <a14:compatExt spid="_x0000_s1309697"/>
                </a:ext>
                <a:ext uri="{FF2B5EF4-FFF2-40B4-BE49-F238E27FC236}">
                  <a16:creationId xmlns:a16="http://schemas.microsoft.com/office/drawing/2014/main" id="{00000000-0008-0000-0200-000001FC1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13</xdr:col>
      <xdr:colOff>152400</xdr:colOff>
      <xdr:row>0</xdr:row>
      <xdr:rowOff>209550</xdr:rowOff>
    </xdr:from>
    <xdr:to>
      <xdr:col>19</xdr:col>
      <xdr:colOff>342900</xdr:colOff>
      <xdr:row>3</xdr:row>
      <xdr:rowOff>9525</xdr:rowOff>
    </xdr:to>
    <xdr:pic>
      <xdr:nvPicPr>
        <xdr:cNvPr id="1590" name="Picture 49" descr="Knorr-Bremse">
          <a:extLst>
            <a:ext uri="{FF2B5EF4-FFF2-40B4-BE49-F238E27FC236}">
              <a16:creationId xmlns:a16="http://schemas.microsoft.com/office/drawing/2014/main" id="{00000000-0008-0000-0300-00003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53850" y="209550"/>
          <a:ext cx="21336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304800</xdr:colOff>
      <xdr:row>1</xdr:row>
      <xdr:rowOff>12700</xdr:rowOff>
    </xdr:from>
    <xdr:to>
      <xdr:col>21</xdr:col>
      <xdr:colOff>812800</xdr:colOff>
      <xdr:row>6</xdr:row>
      <xdr:rowOff>165100</xdr:rowOff>
    </xdr:to>
    <xdr:sp macro="" textlink="">
      <xdr:nvSpPr>
        <xdr:cNvPr id="2" name="Pfeil nach unten 1">
          <a:extLst>
            <a:ext uri="{FF2B5EF4-FFF2-40B4-BE49-F238E27FC236}">
              <a16:creationId xmlns:a16="http://schemas.microsoft.com/office/drawing/2014/main" id="{00000000-0008-0000-0300-000002000000}"/>
            </a:ext>
          </a:extLst>
        </xdr:cNvPr>
        <xdr:cNvSpPr/>
      </xdr:nvSpPr>
      <xdr:spPr>
        <a:xfrm>
          <a:off x="14579600" y="393700"/>
          <a:ext cx="508000" cy="838200"/>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485775</xdr:colOff>
      <xdr:row>1</xdr:row>
      <xdr:rowOff>0</xdr:rowOff>
    </xdr:from>
    <xdr:to>
      <xdr:col>19</xdr:col>
      <xdr:colOff>342900</xdr:colOff>
      <xdr:row>3</xdr:row>
      <xdr:rowOff>9525</xdr:rowOff>
    </xdr:to>
    <xdr:pic>
      <xdr:nvPicPr>
        <xdr:cNvPr id="1024154" name="Picture 49" descr="Knorr-Bremse">
          <a:extLst>
            <a:ext uri="{FF2B5EF4-FFF2-40B4-BE49-F238E27FC236}">
              <a16:creationId xmlns:a16="http://schemas.microsoft.com/office/drawing/2014/main" id="{00000000-0008-0000-0400-00009AA00F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25375" y="381000"/>
          <a:ext cx="13620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15</xdr:col>
      <xdr:colOff>485775</xdr:colOff>
      <xdr:row>1</xdr:row>
      <xdr:rowOff>0</xdr:rowOff>
    </xdr:from>
    <xdr:to>
      <xdr:col>19</xdr:col>
      <xdr:colOff>342900</xdr:colOff>
      <xdr:row>3</xdr:row>
      <xdr:rowOff>9525</xdr:rowOff>
    </xdr:to>
    <xdr:pic>
      <xdr:nvPicPr>
        <xdr:cNvPr id="1049748" name="Picture 49" descr="Knorr-Bremse">
          <a:extLst>
            <a:ext uri="{FF2B5EF4-FFF2-40B4-BE49-F238E27FC236}">
              <a16:creationId xmlns:a16="http://schemas.microsoft.com/office/drawing/2014/main" id="{00000000-0008-0000-0500-000094041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25375" y="381000"/>
          <a:ext cx="13620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ctrlProp" Target="../ctrlProps/ctrlProp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9">
    <tabColor indexed="11"/>
  </sheetPr>
  <dimension ref="B1:Y6"/>
  <sheetViews>
    <sheetView showGridLines="0" tabSelected="1" zoomScaleNormal="100" workbookViewId="0">
      <selection activeCell="AF13" sqref="AF13"/>
    </sheetView>
  </sheetViews>
  <sheetFormatPr defaultColWidth="11.44140625" defaultRowHeight="13.2" x14ac:dyDescent="0.25"/>
  <cols>
    <col min="1" max="1" width="1.5546875" customWidth="1"/>
    <col min="2" max="2" width="7.6640625" customWidth="1"/>
    <col min="3" max="3" width="6.5546875" customWidth="1"/>
    <col min="4" max="5" width="5.6640625" customWidth="1"/>
    <col min="6" max="6" width="1.6640625" customWidth="1"/>
    <col min="7" max="7" width="5.6640625" customWidth="1"/>
    <col min="8" max="8" width="1.6640625" customWidth="1"/>
    <col min="9" max="9" width="5.6640625" customWidth="1"/>
    <col min="10" max="10" width="7.44140625" customWidth="1"/>
    <col min="11" max="11" width="6.109375" customWidth="1"/>
    <col min="12" max="12" width="1.6640625" customWidth="1"/>
    <col min="13" max="13" width="6.109375" customWidth="1"/>
    <col min="14" max="14" width="1.6640625" customWidth="1"/>
    <col min="15" max="15" width="5.6640625" customWidth="1"/>
    <col min="16" max="16" width="2" customWidth="1"/>
    <col min="17" max="17" width="6.5546875" customWidth="1"/>
    <col min="18" max="18" width="1.6640625" customWidth="1"/>
    <col min="19" max="19" width="5.6640625" customWidth="1"/>
    <col min="20" max="20" width="1.44140625" customWidth="1"/>
    <col min="21" max="21" width="5" customWidth="1"/>
    <col min="22" max="22" width="1.33203125" customWidth="1"/>
    <col min="23" max="23" width="7.88671875" customWidth="1"/>
    <col min="24" max="24" width="1.6640625" customWidth="1"/>
    <col min="25" max="25" width="7.109375" customWidth="1"/>
    <col min="26" max="26" width="2.33203125" customWidth="1"/>
    <col min="27" max="29" width="5.6640625" customWidth="1"/>
  </cols>
  <sheetData>
    <row r="1" spans="2:25" ht="21" customHeight="1" x14ac:dyDescent="0.35">
      <c r="N1" s="236" t="s">
        <v>609</v>
      </c>
    </row>
    <row r="2" spans="2:25" x14ac:dyDescent="0.25">
      <c r="B2" s="90"/>
      <c r="C2" s="90"/>
      <c r="D2" s="90"/>
      <c r="E2" s="90"/>
      <c r="F2" s="90"/>
      <c r="G2" s="90"/>
      <c r="H2" s="90"/>
      <c r="I2" s="90"/>
      <c r="J2" s="90"/>
      <c r="K2" s="90"/>
      <c r="L2" s="90"/>
      <c r="M2" s="90"/>
      <c r="N2" s="90"/>
      <c r="O2" s="90"/>
      <c r="P2" s="90"/>
      <c r="Q2" s="90"/>
      <c r="R2" s="90"/>
      <c r="S2" s="90"/>
      <c r="T2" s="90"/>
      <c r="U2" s="90"/>
      <c r="V2" s="90"/>
      <c r="W2" s="90"/>
      <c r="X2" s="90"/>
      <c r="Y2" s="90"/>
    </row>
    <row r="3" spans="2:25" x14ac:dyDescent="0.25">
      <c r="B3" s="90"/>
      <c r="C3" s="90"/>
      <c r="D3" s="90"/>
      <c r="E3" s="90"/>
      <c r="F3" s="90"/>
      <c r="G3" s="90"/>
      <c r="H3" s="90"/>
      <c r="I3" s="90"/>
      <c r="J3" s="90"/>
      <c r="K3" s="90"/>
      <c r="L3" s="90"/>
      <c r="M3" s="90"/>
      <c r="N3" s="90"/>
      <c r="O3" s="90"/>
      <c r="P3" s="90"/>
      <c r="Q3" s="90"/>
      <c r="R3" s="90"/>
      <c r="S3" s="90"/>
      <c r="T3" s="90"/>
      <c r="U3" s="90"/>
      <c r="V3" s="90"/>
      <c r="W3" s="90"/>
      <c r="X3" s="90"/>
      <c r="Y3" s="90"/>
    </row>
    <row r="4" spans="2:25" x14ac:dyDescent="0.25">
      <c r="B4" s="90"/>
      <c r="C4" s="90"/>
      <c r="D4" s="90"/>
      <c r="E4" s="90"/>
      <c r="F4" s="90"/>
      <c r="G4" s="90"/>
      <c r="H4" s="90"/>
      <c r="I4" s="90"/>
      <c r="J4" s="90"/>
      <c r="K4" s="90"/>
      <c r="L4" s="90"/>
      <c r="M4" s="90"/>
      <c r="N4" s="90"/>
      <c r="O4" s="90"/>
      <c r="P4" s="90"/>
      <c r="Q4" s="90"/>
      <c r="R4" s="90"/>
      <c r="S4" s="90"/>
      <c r="T4" s="90"/>
      <c r="U4" s="90"/>
      <c r="V4" s="90"/>
      <c r="W4" s="90"/>
      <c r="X4" s="90"/>
      <c r="Y4" s="90"/>
    </row>
    <row r="5" spans="2:25" ht="28.5" customHeight="1" x14ac:dyDescent="0.5">
      <c r="B5" s="90"/>
      <c r="C5" s="257" t="str">
        <f>VLOOKUP(Vocabularies!B7,Vocabularies!$B$1:$G$358,Vocabularies!$J$2,0)</f>
        <v>Supplier Self-Assessment</v>
      </c>
      <c r="D5" s="257"/>
      <c r="E5" s="257"/>
      <c r="F5" s="257"/>
      <c r="G5" s="257"/>
      <c r="H5" s="257"/>
      <c r="I5" s="257"/>
      <c r="J5" s="257"/>
      <c r="K5" s="257"/>
      <c r="L5" s="257"/>
      <c r="M5" s="257"/>
      <c r="N5" s="90"/>
      <c r="O5" s="90"/>
      <c r="P5" s="90"/>
      <c r="Q5" s="90"/>
      <c r="R5" s="90"/>
      <c r="S5" s="90"/>
      <c r="T5" s="90"/>
      <c r="U5" s="90"/>
      <c r="V5" s="90"/>
      <c r="W5" s="90"/>
      <c r="X5" s="90"/>
      <c r="Y5" s="90"/>
    </row>
    <row r="6" spans="2:25" x14ac:dyDescent="0.25">
      <c r="B6" s="90"/>
      <c r="C6" s="90"/>
      <c r="D6" s="90"/>
      <c r="E6" s="90"/>
      <c r="F6" s="90"/>
      <c r="G6" s="90"/>
      <c r="H6" s="90"/>
      <c r="I6" s="90"/>
      <c r="J6" s="90"/>
      <c r="K6" s="90"/>
      <c r="L6" s="90"/>
      <c r="M6" s="90"/>
      <c r="N6" s="90"/>
      <c r="O6" s="90"/>
      <c r="P6" s="90"/>
      <c r="Q6" s="90"/>
      <c r="R6" s="90"/>
      <c r="S6" s="90"/>
      <c r="T6" s="90"/>
      <c r="U6" s="90"/>
      <c r="V6" s="90"/>
      <c r="W6" s="90"/>
      <c r="X6" s="90"/>
      <c r="Y6" s="90"/>
    </row>
  </sheetData>
  <mergeCells count="1">
    <mergeCell ref="C5:M5"/>
  </mergeCells>
  <phoneticPr fontId="10" type="noConversion"/>
  <pageMargins left="0.43307086614173229" right="0.35433070866141736" top="0.43307086614173229" bottom="0.55118110236220474" header="0.35433070866141736" footer="0.35433070866141736"/>
  <pageSetup paperSize="9" scale="85" orientation="portrait" r:id="rId1"/>
  <headerFooter alignWithMargins="0"/>
  <rowBreaks count="1" manualBreakCount="1">
    <brk id="1" max="16383" man="1"/>
  </rowBreaks>
  <colBreaks count="1" manualBreakCount="1">
    <brk id="2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614401" r:id="rId4" name="Drop Down 1">
              <controlPr defaultSize="0" autoLine="0" autoPict="0">
                <anchor moveWithCells="1">
                  <from>
                    <xdr:col>22</xdr:col>
                    <xdr:colOff>198120</xdr:colOff>
                    <xdr:row>0</xdr:row>
                    <xdr:rowOff>38100</xdr:rowOff>
                  </from>
                  <to>
                    <xdr:col>26</xdr:col>
                    <xdr:colOff>38100</xdr:colOff>
                    <xdr:row>0</xdr:row>
                    <xdr:rowOff>236220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tabColor indexed="11"/>
  </sheetPr>
  <dimension ref="A1:AH121"/>
  <sheetViews>
    <sheetView showGridLines="0" zoomScaleNormal="100" workbookViewId="0">
      <selection activeCell="B8" sqref="B8:K8"/>
    </sheetView>
  </sheetViews>
  <sheetFormatPr defaultColWidth="11.44140625" defaultRowHeight="13.2" x14ac:dyDescent="0.25"/>
  <cols>
    <col min="1" max="1" width="2.33203125" customWidth="1"/>
    <col min="2" max="2" width="7.6640625" customWidth="1"/>
    <col min="3" max="3" width="6.5546875" customWidth="1"/>
    <col min="4" max="5" width="5.6640625" customWidth="1"/>
    <col min="6" max="6" width="1.6640625" customWidth="1"/>
    <col min="7" max="7" width="5.6640625" customWidth="1"/>
    <col min="8" max="8" width="1.6640625" customWidth="1"/>
    <col min="9" max="9" width="5.6640625" customWidth="1"/>
    <col min="10" max="10" width="1.6640625" customWidth="1"/>
    <col min="11" max="11" width="6.109375" customWidth="1"/>
    <col min="12" max="12" width="4.5546875" customWidth="1"/>
    <col min="13" max="13" width="6.109375" customWidth="1"/>
    <col min="14" max="14" width="1.6640625" customWidth="1"/>
    <col min="15" max="15" width="5.6640625" customWidth="1"/>
    <col min="16" max="16" width="2" customWidth="1"/>
    <col min="17" max="17" width="7.5546875" customWidth="1"/>
    <col min="18" max="18" width="1.6640625" customWidth="1"/>
    <col min="19" max="19" width="5.6640625" customWidth="1"/>
    <col min="20" max="20" width="1.44140625" customWidth="1"/>
    <col min="21" max="21" width="5" customWidth="1"/>
    <col min="22" max="22" width="1.33203125" customWidth="1"/>
    <col min="23" max="23" width="7.88671875" customWidth="1"/>
    <col min="24" max="24" width="1.6640625" customWidth="1"/>
    <col min="25" max="25" width="6.5546875" customWidth="1"/>
    <col min="26" max="26" width="2.33203125" customWidth="1"/>
    <col min="27" max="29" width="5.6640625" customWidth="1"/>
  </cols>
  <sheetData>
    <row r="1" spans="1:34" ht="21" customHeight="1" thickBot="1" x14ac:dyDescent="0.4">
      <c r="O1" s="236" t="s">
        <v>609</v>
      </c>
    </row>
    <row r="2" spans="1:34" ht="27.6" customHeight="1" x14ac:dyDescent="0.25">
      <c r="A2" s="301" t="str">
        <f>VLOOKUP(Vocabularies!B7,Vocabularies!$B$1:$G$358,Vocabularies!$J$2,0)</f>
        <v>Supplier Self-Assessment</v>
      </c>
      <c r="B2" s="302" t="e">
        <f>VLOOKUP("Reason:",Vocabularies!#REF!,Vocabularies!#REF!,0)</f>
        <v>#REF!</v>
      </c>
      <c r="C2" s="302" t="e">
        <f>VLOOKUP("Reason:",Vocabularies!#REF!,Vocabularies!#REF!,0)</f>
        <v>#REF!</v>
      </c>
      <c r="D2" s="302" t="e">
        <f>VLOOKUP("Reason:",Vocabularies!#REF!,Vocabularies!#REF!,0)</f>
        <v>#REF!</v>
      </c>
      <c r="E2" s="302" t="e">
        <f>VLOOKUP("Reason:",Vocabularies!#REF!,Vocabularies!#REF!,0)</f>
        <v>#REF!</v>
      </c>
      <c r="F2" s="302" t="e">
        <f>VLOOKUP("Reason:",Vocabularies!#REF!,Vocabularies!#REF!,0)</f>
        <v>#REF!</v>
      </c>
      <c r="G2" s="302" t="e">
        <f>VLOOKUP("Reason:",Vocabularies!#REF!,Vocabularies!#REF!,0)</f>
        <v>#REF!</v>
      </c>
      <c r="H2" s="302" t="e">
        <f>VLOOKUP("Reason:",Vocabularies!#REF!,Vocabularies!#REF!,0)</f>
        <v>#REF!</v>
      </c>
      <c r="I2" s="302" t="e">
        <f>VLOOKUP("Reason:",Vocabularies!#REF!,Vocabularies!#REF!,0)</f>
        <v>#REF!</v>
      </c>
      <c r="J2" s="302" t="e">
        <f>VLOOKUP("Reason:",Vocabularies!#REF!,Vocabularies!#REF!,0)</f>
        <v>#REF!</v>
      </c>
      <c r="K2" s="302" t="e">
        <f>VLOOKUP("Reason:",Vocabularies!#REF!,Vocabularies!#REF!,0)</f>
        <v>#REF!</v>
      </c>
      <c r="L2" s="302" t="e">
        <f>VLOOKUP("Reason:",Vocabularies!#REF!,Vocabularies!#REF!,0)</f>
        <v>#REF!</v>
      </c>
      <c r="M2" s="302" t="e">
        <f>VLOOKUP("Reason:",Vocabularies!#REF!,Vocabularies!#REF!,0)</f>
        <v>#REF!</v>
      </c>
      <c r="N2" s="303" t="e">
        <f>VLOOKUP("Reason:",Vocabularies!#REF!,Vocabularies!#REF!,0)</f>
        <v>#REF!</v>
      </c>
      <c r="O2" s="157"/>
      <c r="P2" s="158"/>
      <c r="Q2" s="158"/>
      <c r="R2" s="158"/>
      <c r="S2" s="158"/>
      <c r="T2" s="158"/>
      <c r="U2" s="158"/>
      <c r="V2" s="158"/>
      <c r="W2" s="158"/>
      <c r="X2" s="158"/>
      <c r="Y2" s="158"/>
      <c r="Z2" s="159"/>
      <c r="AB2" s="16"/>
      <c r="AC2" s="16"/>
      <c r="AD2" s="16"/>
      <c r="AE2" s="16"/>
      <c r="AF2" s="16"/>
      <c r="AG2" s="16"/>
      <c r="AH2" s="16"/>
    </row>
    <row r="3" spans="1:34" ht="19.2" customHeight="1" x14ac:dyDescent="0.25">
      <c r="A3" s="306"/>
      <c r="B3" s="307"/>
      <c r="C3" s="307"/>
      <c r="D3" s="307"/>
      <c r="E3" s="307"/>
      <c r="F3" s="307"/>
      <c r="G3" s="307"/>
      <c r="H3" s="307"/>
      <c r="I3" s="307"/>
      <c r="J3" s="307"/>
      <c r="K3" s="307"/>
      <c r="L3" s="307"/>
      <c r="M3" s="307"/>
      <c r="N3" s="308"/>
      <c r="O3" s="148"/>
      <c r="P3" s="130"/>
      <c r="Q3" s="130"/>
      <c r="R3" s="130"/>
      <c r="S3" s="130"/>
      <c r="T3" s="130"/>
      <c r="U3" s="130"/>
      <c r="V3" s="130"/>
      <c r="W3" s="130"/>
      <c r="X3" s="130"/>
      <c r="Y3" s="130"/>
      <c r="Z3" s="160"/>
      <c r="AB3" s="16"/>
      <c r="AC3" s="16"/>
      <c r="AD3" s="16"/>
      <c r="AE3" s="16"/>
      <c r="AF3" s="16"/>
      <c r="AG3" s="16"/>
      <c r="AH3" s="16"/>
    </row>
    <row r="4" spans="1:34" ht="17.399999999999999" customHeight="1" x14ac:dyDescent="0.25">
      <c r="A4" s="161" t="s">
        <v>1098</v>
      </c>
      <c r="B4" s="162"/>
      <c r="C4" s="162"/>
      <c r="D4" s="162"/>
      <c r="E4" s="162"/>
      <c r="F4" s="162"/>
      <c r="G4" s="162"/>
      <c r="H4" s="162"/>
      <c r="I4" s="162"/>
      <c r="J4" s="162"/>
      <c r="K4" s="162"/>
      <c r="L4" s="162"/>
      <c r="M4" s="162"/>
      <c r="N4" s="163"/>
      <c r="O4" s="155"/>
      <c r="P4" s="164"/>
      <c r="Q4" s="165"/>
      <c r="R4" s="165"/>
      <c r="S4" s="313" t="str">
        <f>VLOOKUP(Vocabularies!B3,Vocabularies!B1:G358,Vocabularies!J2,0)</f>
        <v>Date:</v>
      </c>
      <c r="T4" s="313"/>
      <c r="U4" s="313"/>
      <c r="V4" s="166"/>
      <c r="W4" s="319"/>
      <c r="X4" s="320"/>
      <c r="Y4" s="321"/>
      <c r="Z4" s="167"/>
      <c r="AB4" s="16"/>
      <c r="AC4" s="16"/>
      <c r="AD4" s="16"/>
      <c r="AE4" s="16"/>
      <c r="AF4" s="16"/>
      <c r="AG4" s="16"/>
      <c r="AH4" s="16"/>
    </row>
    <row r="5" spans="1:34" ht="19.5" customHeight="1" x14ac:dyDescent="0.25">
      <c r="A5" s="168" t="str">
        <f>VLOOKUP(Vocabularies!B6,Vocabularies!$B$1:$G$358,Vocabularies!$J$2,0)</f>
        <v>Section A, Company Profil</v>
      </c>
      <c r="B5" s="169"/>
      <c r="C5" s="169"/>
      <c r="D5" s="169"/>
      <c r="E5" s="169"/>
      <c r="F5" s="169"/>
      <c r="G5" s="169"/>
      <c r="H5" s="169"/>
      <c r="I5" s="170"/>
      <c r="J5" s="170"/>
      <c r="K5" s="170"/>
      <c r="L5" s="170"/>
      <c r="M5" s="170"/>
      <c r="N5" s="170"/>
      <c r="O5" s="171"/>
      <c r="P5" s="171"/>
      <c r="Q5" s="172"/>
      <c r="R5" s="172"/>
      <c r="S5" s="172"/>
      <c r="T5" s="172"/>
      <c r="U5" s="172"/>
      <c r="V5" s="172"/>
      <c r="W5" s="172"/>
      <c r="X5" s="172"/>
      <c r="Y5" s="172"/>
      <c r="Z5" s="173"/>
      <c r="AB5" s="16"/>
      <c r="AC5" s="16"/>
      <c r="AD5" s="16"/>
      <c r="AE5" s="16"/>
      <c r="AF5" s="16"/>
      <c r="AG5" s="16"/>
      <c r="AH5" s="16"/>
    </row>
    <row r="6" spans="1:34" ht="12" customHeight="1" x14ac:dyDescent="0.5">
      <c r="A6" s="58"/>
      <c r="B6" s="174"/>
      <c r="C6" s="174"/>
      <c r="D6" s="174"/>
      <c r="E6" s="174"/>
      <c r="F6" s="174"/>
      <c r="G6" s="174"/>
      <c r="H6" s="174"/>
      <c r="I6" s="174"/>
      <c r="J6" s="174"/>
      <c r="K6" s="174"/>
      <c r="L6" s="174"/>
      <c r="M6" s="175"/>
      <c r="N6" s="175"/>
      <c r="O6" s="175"/>
      <c r="P6" s="175"/>
      <c r="Q6" s="175"/>
      <c r="R6" s="175"/>
      <c r="S6" s="175"/>
      <c r="T6" s="175"/>
      <c r="U6" s="175"/>
      <c r="V6" s="175"/>
      <c r="W6" s="175"/>
      <c r="X6" s="175"/>
      <c r="Y6" s="175"/>
      <c r="Z6" s="176"/>
      <c r="AB6" s="16"/>
      <c r="AC6" s="16"/>
      <c r="AD6" s="16"/>
      <c r="AE6" s="16"/>
      <c r="AF6" s="16"/>
      <c r="AG6" s="16"/>
      <c r="AH6" s="16"/>
    </row>
    <row r="7" spans="1:34" ht="12" customHeight="1" x14ac:dyDescent="0.5">
      <c r="A7" s="177"/>
      <c r="B7" s="178" t="str">
        <f>VLOOKUP(Vocabularies!B8,Vocabularies!$B$1:$G$358,Vocabularies!$J$2,0)</f>
        <v>Company name (including legal form):</v>
      </c>
      <c r="C7" s="174"/>
      <c r="D7" s="174"/>
      <c r="E7" s="174"/>
      <c r="F7" s="174"/>
      <c r="G7" s="174"/>
      <c r="H7" s="174"/>
      <c r="I7" s="174"/>
      <c r="J7" s="174"/>
      <c r="K7" s="174"/>
      <c r="L7" s="174"/>
      <c r="M7" s="300" t="str">
        <f>VLOOKUP(Vocabularies!B9,Vocabularies!$B$1:$G$358,Vocabularies!$J$2,0)</f>
        <v xml:space="preserve">Form completed by: </v>
      </c>
      <c r="N7" s="300"/>
      <c r="O7" s="300"/>
      <c r="P7" s="300"/>
      <c r="Q7" s="300"/>
      <c r="R7" s="300"/>
      <c r="S7" s="300"/>
      <c r="T7" s="300"/>
      <c r="U7" s="300"/>
      <c r="V7" s="300"/>
      <c r="W7" s="300"/>
      <c r="X7" s="300"/>
      <c r="Y7" s="300"/>
      <c r="Z7" s="176"/>
      <c r="AB7" s="16"/>
      <c r="AC7" s="16"/>
      <c r="AD7" s="16"/>
      <c r="AE7" s="16"/>
      <c r="AF7" s="16"/>
      <c r="AG7" s="16"/>
      <c r="AH7" s="16"/>
    </row>
    <row r="8" spans="1:34" ht="12" customHeight="1" x14ac:dyDescent="0.5">
      <c r="A8" s="58"/>
      <c r="B8" s="310"/>
      <c r="C8" s="311"/>
      <c r="D8" s="311"/>
      <c r="E8" s="311"/>
      <c r="F8" s="311"/>
      <c r="G8" s="311"/>
      <c r="H8" s="311"/>
      <c r="I8" s="311"/>
      <c r="J8" s="311"/>
      <c r="K8" s="312"/>
      <c r="L8" s="174"/>
      <c r="M8" s="310"/>
      <c r="N8" s="311"/>
      <c r="O8" s="311"/>
      <c r="P8" s="311"/>
      <c r="Q8" s="311"/>
      <c r="R8" s="311"/>
      <c r="S8" s="311"/>
      <c r="T8" s="311"/>
      <c r="U8" s="311"/>
      <c r="V8" s="311"/>
      <c r="W8" s="311"/>
      <c r="X8" s="311"/>
      <c r="Y8" s="312"/>
      <c r="Z8" s="176"/>
      <c r="AB8" s="16"/>
      <c r="AC8" s="16"/>
      <c r="AD8" s="16"/>
      <c r="AE8" s="16"/>
      <c r="AF8" s="16"/>
      <c r="AG8" s="16"/>
      <c r="AH8" s="16"/>
    </row>
    <row r="9" spans="1:34" ht="3.75" customHeight="1" x14ac:dyDescent="0.5">
      <c r="A9" s="58"/>
      <c r="B9" s="174"/>
      <c r="C9" s="174"/>
      <c r="D9" s="174"/>
      <c r="E9" s="174"/>
      <c r="F9" s="174"/>
      <c r="G9" s="174"/>
      <c r="H9" s="174"/>
      <c r="I9" s="174"/>
      <c r="J9" s="174"/>
      <c r="K9" s="174"/>
      <c r="L9" s="174"/>
      <c r="M9" s="175"/>
      <c r="N9" s="175"/>
      <c r="O9" s="175"/>
      <c r="P9" s="175"/>
      <c r="Q9" s="175"/>
      <c r="R9" s="175"/>
      <c r="S9" s="175"/>
      <c r="T9" s="175"/>
      <c r="U9" s="175"/>
      <c r="V9" s="175"/>
      <c r="W9" s="175"/>
      <c r="X9" s="175"/>
      <c r="Y9" s="175"/>
      <c r="Z9" s="176"/>
      <c r="AB9" s="16"/>
      <c r="AC9" s="16"/>
      <c r="AD9" s="16"/>
      <c r="AE9" s="16"/>
      <c r="AF9" s="16"/>
      <c r="AG9" s="16"/>
      <c r="AH9" s="16"/>
    </row>
    <row r="10" spans="1:34" ht="12" customHeight="1" x14ac:dyDescent="0.5">
      <c r="A10" s="58"/>
      <c r="B10" s="178" t="str">
        <f>VLOOKUP(Vocabularies!B10,Vocabularies!$B$1:$G$358,Vocabularies!$J$2,0)</f>
        <v>Facility Address:</v>
      </c>
      <c r="C10" s="174"/>
      <c r="D10" s="174"/>
      <c r="E10" s="174"/>
      <c r="F10" s="174"/>
      <c r="G10" s="174"/>
      <c r="H10" s="174"/>
      <c r="I10" s="174"/>
      <c r="J10" s="174"/>
      <c r="K10" s="174"/>
      <c r="L10" s="174"/>
      <c r="M10" s="300" t="str">
        <f>VLOOKUP(Vocabularies!B11,Vocabularies!$B$1:$G$358,Vocabularies!$J$2,0)</f>
        <v>Department:</v>
      </c>
      <c r="N10" s="300"/>
      <c r="O10" s="300"/>
      <c r="P10" s="300"/>
      <c r="Q10" s="300"/>
      <c r="R10" s="300"/>
      <c r="S10" s="300"/>
      <c r="T10" s="300"/>
      <c r="U10" s="300"/>
      <c r="V10" s="300"/>
      <c r="W10" s="300"/>
      <c r="X10" s="300"/>
      <c r="Y10" s="300"/>
      <c r="Z10" s="176"/>
      <c r="AB10" s="16"/>
      <c r="AC10" s="16"/>
      <c r="AD10" s="16"/>
      <c r="AE10" s="16"/>
      <c r="AF10" s="16"/>
      <c r="AG10" s="16"/>
      <c r="AH10" s="16"/>
    </row>
    <row r="11" spans="1:34" ht="12" customHeight="1" x14ac:dyDescent="0.5">
      <c r="A11" s="58"/>
      <c r="B11" s="310"/>
      <c r="C11" s="311"/>
      <c r="D11" s="311"/>
      <c r="E11" s="311"/>
      <c r="F11" s="311"/>
      <c r="G11" s="311"/>
      <c r="H11" s="311"/>
      <c r="I11" s="311"/>
      <c r="J11" s="311"/>
      <c r="K11" s="312"/>
      <c r="L11" s="174"/>
      <c r="M11" s="310"/>
      <c r="N11" s="311"/>
      <c r="O11" s="311"/>
      <c r="P11" s="311"/>
      <c r="Q11" s="311"/>
      <c r="R11" s="311"/>
      <c r="S11" s="311"/>
      <c r="T11" s="311"/>
      <c r="U11" s="311"/>
      <c r="V11" s="311"/>
      <c r="W11" s="311"/>
      <c r="X11" s="311"/>
      <c r="Y11" s="312"/>
      <c r="Z11" s="176"/>
      <c r="AB11" s="16"/>
      <c r="AC11" s="16"/>
      <c r="AD11" s="16"/>
      <c r="AE11" s="16"/>
      <c r="AF11" s="16"/>
      <c r="AG11" s="16"/>
      <c r="AH11" s="16"/>
    </row>
    <row r="12" spans="1:34" ht="3.75" customHeight="1" x14ac:dyDescent="0.5">
      <c r="A12" s="58"/>
      <c r="B12" s="174"/>
      <c r="C12" s="174"/>
      <c r="D12" s="174"/>
      <c r="E12" s="174"/>
      <c r="F12" s="174"/>
      <c r="G12" s="174"/>
      <c r="H12" s="174"/>
      <c r="I12" s="174"/>
      <c r="J12" s="174"/>
      <c r="K12" s="174"/>
      <c r="L12" s="174"/>
      <c r="M12" s="175"/>
      <c r="N12" s="175"/>
      <c r="O12" s="175"/>
      <c r="P12" s="175"/>
      <c r="Q12" s="175"/>
      <c r="R12" s="175"/>
      <c r="S12" s="175"/>
      <c r="T12" s="175"/>
      <c r="U12" s="175"/>
      <c r="V12" s="175"/>
      <c r="W12" s="175"/>
      <c r="X12" s="175"/>
      <c r="Y12" s="175"/>
      <c r="Z12" s="176"/>
      <c r="AB12" s="16"/>
      <c r="AC12" s="16"/>
      <c r="AD12" s="16"/>
      <c r="AE12" s="16"/>
      <c r="AF12" s="16"/>
      <c r="AG12" s="16"/>
      <c r="AH12" s="16"/>
    </row>
    <row r="13" spans="1:34" ht="12" customHeight="1" x14ac:dyDescent="0.5">
      <c r="A13" s="58"/>
      <c r="B13" s="178" t="str">
        <f>VLOOKUP(Vocabularies!B12,Vocabularies!$B$1:$G$358,Vocabularies!$J$2,0)</f>
        <v>Post code, City, State:</v>
      </c>
      <c r="C13" s="174"/>
      <c r="D13" s="174"/>
      <c r="E13" s="174"/>
      <c r="F13" s="174"/>
      <c r="G13" s="174"/>
      <c r="H13" s="174"/>
      <c r="I13" s="174"/>
      <c r="J13" s="174"/>
      <c r="K13" s="174"/>
      <c r="L13" s="174"/>
      <c r="M13" s="300" t="str">
        <f>VLOOKUP(Vocabularies!B13,Vocabularies!$B$1:$G$358,Vocabularies!$J$2,0)</f>
        <v>Telephone:</v>
      </c>
      <c r="N13" s="300"/>
      <c r="O13" s="300"/>
      <c r="P13" s="300"/>
      <c r="Q13" s="300"/>
      <c r="R13" s="300"/>
      <c r="S13" s="300"/>
      <c r="T13" s="300"/>
      <c r="U13" s="300"/>
      <c r="V13" s="300"/>
      <c r="W13" s="300"/>
      <c r="X13" s="300"/>
      <c r="Y13" s="300"/>
      <c r="Z13" s="176"/>
      <c r="AB13" s="16"/>
      <c r="AC13" s="16"/>
      <c r="AD13" s="16"/>
      <c r="AE13" s="16"/>
      <c r="AF13" s="16"/>
      <c r="AG13" s="16"/>
      <c r="AH13" s="16"/>
    </row>
    <row r="14" spans="1:34" ht="12" customHeight="1" x14ac:dyDescent="0.5">
      <c r="A14" s="58"/>
      <c r="B14" s="310"/>
      <c r="C14" s="311"/>
      <c r="D14" s="311"/>
      <c r="E14" s="311"/>
      <c r="F14" s="311"/>
      <c r="G14" s="311"/>
      <c r="H14" s="311"/>
      <c r="I14" s="311"/>
      <c r="J14" s="311"/>
      <c r="K14" s="312"/>
      <c r="L14" s="174"/>
      <c r="M14" s="310"/>
      <c r="N14" s="311"/>
      <c r="O14" s="311"/>
      <c r="P14" s="311"/>
      <c r="Q14" s="311"/>
      <c r="R14" s="311"/>
      <c r="S14" s="311"/>
      <c r="T14" s="311"/>
      <c r="U14" s="311"/>
      <c r="V14" s="311"/>
      <c r="W14" s="311"/>
      <c r="X14" s="311"/>
      <c r="Y14" s="312"/>
      <c r="Z14" s="176"/>
      <c r="AB14" s="16"/>
      <c r="AC14" s="16"/>
      <c r="AD14" s="16"/>
      <c r="AE14" s="16"/>
      <c r="AF14" s="16"/>
      <c r="AG14" s="16"/>
      <c r="AH14" s="16"/>
    </row>
    <row r="15" spans="1:34" ht="3.75" customHeight="1" x14ac:dyDescent="0.5">
      <c r="A15" s="58"/>
      <c r="B15" s="174"/>
      <c r="C15" s="174"/>
      <c r="D15" s="174"/>
      <c r="E15" s="174"/>
      <c r="F15" s="174"/>
      <c r="G15" s="174"/>
      <c r="H15" s="174"/>
      <c r="I15" s="174"/>
      <c r="J15" s="174"/>
      <c r="K15" s="174"/>
      <c r="L15" s="174"/>
      <c r="M15" s="175"/>
      <c r="N15" s="175"/>
      <c r="O15" s="175"/>
      <c r="P15" s="175"/>
      <c r="Q15" s="175"/>
      <c r="R15" s="175"/>
      <c r="S15" s="175"/>
      <c r="T15" s="175"/>
      <c r="U15" s="175"/>
      <c r="V15" s="175"/>
      <c r="W15" s="175"/>
      <c r="X15" s="175"/>
      <c r="Y15" s="175"/>
      <c r="Z15" s="176"/>
      <c r="AB15" s="16"/>
      <c r="AC15" s="16"/>
      <c r="AD15" s="16"/>
      <c r="AE15" s="16"/>
      <c r="AF15" s="16"/>
      <c r="AG15" s="16"/>
      <c r="AH15" s="16"/>
    </row>
    <row r="16" spans="1:34" ht="12" customHeight="1" x14ac:dyDescent="0.5">
      <c r="A16" s="58"/>
      <c r="B16" s="178" t="str">
        <f>VLOOKUP(Vocabularies!B14,Vocabularies!$B$1:$G$358,Vocabularies!$J$2,0)</f>
        <v>Country:</v>
      </c>
      <c r="C16" s="174"/>
      <c r="D16" s="174"/>
      <c r="E16" s="174"/>
      <c r="F16" s="174"/>
      <c r="G16" s="174"/>
      <c r="H16" s="174"/>
      <c r="I16" s="174"/>
      <c r="J16" s="174"/>
      <c r="K16" s="174"/>
      <c r="L16" s="174" t="s">
        <v>156</v>
      </c>
      <c r="M16" s="300" t="str">
        <f>VLOOKUP(Vocabularies!B15,Vocabularies!$B$1:$G$358,Vocabularies!$J$2,0)</f>
        <v>Fax:</v>
      </c>
      <c r="N16" s="300"/>
      <c r="O16" s="300"/>
      <c r="P16" s="300"/>
      <c r="Q16" s="300"/>
      <c r="R16" s="300"/>
      <c r="S16" s="300"/>
      <c r="T16" s="300"/>
      <c r="U16" s="300"/>
      <c r="V16" s="300"/>
      <c r="W16" s="300"/>
      <c r="X16" s="300"/>
      <c r="Y16" s="300"/>
      <c r="Z16" s="176"/>
      <c r="AB16" s="16"/>
      <c r="AC16" s="16"/>
      <c r="AD16" s="16"/>
      <c r="AE16" s="16"/>
      <c r="AF16" s="16"/>
      <c r="AG16" s="16"/>
      <c r="AH16" s="16"/>
    </row>
    <row r="17" spans="1:34" ht="12" customHeight="1" x14ac:dyDescent="0.5">
      <c r="A17" s="58"/>
      <c r="B17" s="310"/>
      <c r="C17" s="311"/>
      <c r="D17" s="311"/>
      <c r="E17" s="311"/>
      <c r="F17" s="311"/>
      <c r="G17" s="311"/>
      <c r="H17" s="311"/>
      <c r="I17" s="311"/>
      <c r="J17" s="311"/>
      <c r="K17" s="312"/>
      <c r="L17" s="174" t="s">
        <v>156</v>
      </c>
      <c r="M17" s="310"/>
      <c r="N17" s="311"/>
      <c r="O17" s="311"/>
      <c r="P17" s="311"/>
      <c r="Q17" s="311"/>
      <c r="R17" s="311"/>
      <c r="S17" s="311"/>
      <c r="T17" s="311"/>
      <c r="U17" s="311"/>
      <c r="V17" s="311"/>
      <c r="W17" s="311"/>
      <c r="X17" s="311"/>
      <c r="Y17" s="312"/>
      <c r="Z17" s="176"/>
      <c r="AB17" s="16"/>
      <c r="AC17" s="16"/>
      <c r="AD17" s="16"/>
      <c r="AE17" s="16"/>
      <c r="AF17" s="16"/>
      <c r="AG17" s="16"/>
      <c r="AH17" s="16"/>
    </row>
    <row r="18" spans="1:34" ht="3.75" customHeight="1" x14ac:dyDescent="0.5">
      <c r="A18" s="58"/>
      <c r="B18" s="174"/>
      <c r="C18" s="174"/>
      <c r="D18" s="174"/>
      <c r="E18" s="174"/>
      <c r="F18" s="174"/>
      <c r="G18" s="174"/>
      <c r="H18" s="174"/>
      <c r="I18" s="174"/>
      <c r="J18" s="174"/>
      <c r="K18" s="174"/>
      <c r="L18" s="174"/>
      <c r="M18" s="175"/>
      <c r="N18" s="175"/>
      <c r="O18" s="175"/>
      <c r="P18" s="175"/>
      <c r="Q18" s="175"/>
      <c r="R18" s="175"/>
      <c r="S18" s="175"/>
      <c r="T18" s="175"/>
      <c r="U18" s="175"/>
      <c r="V18" s="175"/>
      <c r="W18" s="175"/>
      <c r="X18" s="175"/>
      <c r="Y18" s="175"/>
      <c r="Z18" s="176"/>
      <c r="AB18" s="16"/>
      <c r="AC18" s="16"/>
      <c r="AD18" s="16"/>
      <c r="AE18" s="16"/>
      <c r="AF18" s="16"/>
      <c r="AG18" s="16"/>
      <c r="AH18" s="16"/>
    </row>
    <row r="19" spans="1:34" ht="12" customHeight="1" x14ac:dyDescent="0.5">
      <c r="A19" s="58"/>
      <c r="B19" s="178" t="str">
        <f>VLOOKUP(Vocabularies!B16,Vocabularies!$B$1:$G$358,Vocabularies!$J$2,0)</f>
        <v>Internet (www):</v>
      </c>
      <c r="C19" s="174"/>
      <c r="D19" s="174"/>
      <c r="E19" s="174"/>
      <c r="F19" s="174"/>
      <c r="G19" s="174"/>
      <c r="H19" s="174"/>
      <c r="I19" s="174"/>
      <c r="J19" s="174"/>
      <c r="K19" s="174"/>
      <c r="L19" s="174"/>
      <c r="M19" s="300" t="str">
        <f>VLOOKUP(Vocabularies!B17,Vocabularies!$B$1:$G$358,Vocabularies!$J$2,0)</f>
        <v>E-Mail:</v>
      </c>
      <c r="N19" s="300"/>
      <c r="O19" s="300"/>
      <c r="P19" s="300"/>
      <c r="Q19" s="300"/>
      <c r="R19" s="300"/>
      <c r="S19" s="300"/>
      <c r="T19" s="300"/>
      <c r="U19" s="300"/>
      <c r="V19" s="300"/>
      <c r="W19" s="300"/>
      <c r="X19" s="300"/>
      <c r="Y19" s="300"/>
      <c r="Z19" s="176"/>
      <c r="AB19" s="16"/>
      <c r="AC19" s="16"/>
      <c r="AD19" s="16"/>
      <c r="AE19" s="16"/>
      <c r="AF19" s="16"/>
      <c r="AG19" s="16"/>
      <c r="AH19" s="16"/>
    </row>
    <row r="20" spans="1:34" ht="12" customHeight="1" x14ac:dyDescent="0.5">
      <c r="A20" s="58"/>
      <c r="B20" s="310"/>
      <c r="C20" s="311"/>
      <c r="D20" s="311"/>
      <c r="E20" s="311"/>
      <c r="F20" s="311"/>
      <c r="G20" s="311"/>
      <c r="H20" s="311"/>
      <c r="I20" s="311"/>
      <c r="J20" s="311"/>
      <c r="K20" s="312"/>
      <c r="L20" s="174"/>
      <c r="M20" s="310"/>
      <c r="N20" s="311"/>
      <c r="O20" s="311"/>
      <c r="P20" s="311"/>
      <c r="Q20" s="311"/>
      <c r="R20" s="311"/>
      <c r="S20" s="311"/>
      <c r="T20" s="311"/>
      <c r="U20" s="311"/>
      <c r="V20" s="311"/>
      <c r="W20" s="311"/>
      <c r="X20" s="311"/>
      <c r="Y20" s="312"/>
      <c r="Z20" s="176"/>
      <c r="AB20" s="16"/>
      <c r="AC20" s="16"/>
      <c r="AD20" s="16"/>
      <c r="AE20" s="16"/>
      <c r="AF20" s="16"/>
      <c r="AG20" s="16"/>
      <c r="AH20" s="16"/>
    </row>
    <row r="21" spans="1:34" ht="3.75" customHeight="1" x14ac:dyDescent="0.5">
      <c r="A21" s="58"/>
      <c r="B21" s="174"/>
      <c r="C21" s="174"/>
      <c r="D21" s="174"/>
      <c r="E21" s="174"/>
      <c r="F21" s="174"/>
      <c r="G21" s="174"/>
      <c r="H21" s="174"/>
      <c r="I21" s="174"/>
      <c r="J21" s="174"/>
      <c r="K21" s="174"/>
      <c r="L21" s="174"/>
      <c r="M21" s="175"/>
      <c r="N21" s="175"/>
      <c r="O21" s="175"/>
      <c r="P21" s="175"/>
      <c r="Q21" s="175"/>
      <c r="R21" s="175"/>
      <c r="S21" s="175"/>
      <c r="T21" s="175"/>
      <c r="U21" s="175"/>
      <c r="V21" s="175"/>
      <c r="W21" s="175"/>
      <c r="X21" s="175"/>
      <c r="Y21" s="175"/>
      <c r="Z21" s="176"/>
      <c r="AB21" s="16"/>
      <c r="AC21" s="16"/>
      <c r="AD21" s="16"/>
      <c r="AE21" s="16"/>
      <c r="AF21" s="16"/>
      <c r="AG21" s="16"/>
      <c r="AH21" s="16"/>
    </row>
    <row r="22" spans="1:34" ht="12" customHeight="1" x14ac:dyDescent="0.5">
      <c r="A22" s="58"/>
      <c r="B22" s="178" t="str">
        <f>VLOOKUP(Vocabularies!B18,Vocabularies!$B$1:$G$358,Vocabularies!$J$2,0)</f>
        <v>DUNS-Number:</v>
      </c>
      <c r="C22" s="174"/>
      <c r="D22" s="174"/>
      <c r="E22" s="174"/>
      <c r="F22" s="174"/>
      <c r="G22" s="174"/>
      <c r="H22" s="174"/>
      <c r="I22" s="174"/>
      <c r="J22" s="174"/>
      <c r="K22" s="174"/>
      <c r="L22" s="174"/>
      <c r="M22" s="300" t="str">
        <f>VLOOKUP(Vocabularies!B19,Vocabularies!$B$1:$G$358,Vocabularies!$J$2,0)</f>
        <v>KB- Supplier-Nr. (if available):</v>
      </c>
      <c r="N22" s="300"/>
      <c r="O22" s="300"/>
      <c r="P22" s="300"/>
      <c r="Q22" s="300"/>
      <c r="R22" s="300"/>
      <c r="S22" s="300"/>
      <c r="T22" s="300"/>
      <c r="U22" s="300"/>
      <c r="V22" s="300"/>
      <c r="W22" s="300"/>
      <c r="X22" s="300"/>
      <c r="Y22" s="300"/>
      <c r="Z22" s="176"/>
      <c r="AB22" s="16"/>
      <c r="AC22" s="16"/>
      <c r="AD22" s="16"/>
      <c r="AE22" s="16"/>
      <c r="AF22" s="16"/>
      <c r="AG22" s="16"/>
      <c r="AH22" s="16"/>
    </row>
    <row r="23" spans="1:34" ht="12" customHeight="1" x14ac:dyDescent="0.5">
      <c r="A23" s="58"/>
      <c r="B23" s="310"/>
      <c r="C23" s="311"/>
      <c r="D23" s="311"/>
      <c r="E23" s="311"/>
      <c r="F23" s="311"/>
      <c r="G23" s="311"/>
      <c r="H23" s="311"/>
      <c r="I23" s="311"/>
      <c r="J23" s="311"/>
      <c r="K23" s="312"/>
      <c r="L23" s="174"/>
      <c r="M23" s="310"/>
      <c r="N23" s="311"/>
      <c r="O23" s="311"/>
      <c r="P23" s="311"/>
      <c r="Q23" s="311"/>
      <c r="R23" s="311"/>
      <c r="S23" s="311"/>
      <c r="T23" s="311"/>
      <c r="U23" s="311"/>
      <c r="V23" s="311"/>
      <c r="W23" s="311"/>
      <c r="X23" s="311"/>
      <c r="Y23" s="312"/>
      <c r="Z23" s="176"/>
      <c r="AB23" s="16"/>
      <c r="AC23" s="16"/>
      <c r="AD23" s="16"/>
      <c r="AE23" s="16"/>
      <c r="AF23" s="16"/>
      <c r="AG23" s="16"/>
      <c r="AH23" s="16"/>
    </row>
    <row r="24" spans="1:34" ht="7.5" customHeight="1" x14ac:dyDescent="0.5">
      <c r="A24" s="179"/>
      <c r="B24" s="180"/>
      <c r="C24" s="180"/>
      <c r="D24" s="180"/>
      <c r="E24" s="180"/>
      <c r="F24" s="180"/>
      <c r="G24" s="180"/>
      <c r="H24" s="180"/>
      <c r="I24" s="180"/>
      <c r="J24" s="180"/>
      <c r="K24" s="180"/>
      <c r="L24" s="180"/>
      <c r="M24" s="181"/>
      <c r="N24" s="181"/>
      <c r="O24" s="181"/>
      <c r="P24" s="181"/>
      <c r="Q24" s="181"/>
      <c r="R24" s="181"/>
      <c r="S24" s="181"/>
      <c r="T24" s="181"/>
      <c r="U24" s="181"/>
      <c r="V24" s="181"/>
      <c r="W24" s="181"/>
      <c r="X24" s="181"/>
      <c r="Y24" s="181"/>
      <c r="Z24" s="182"/>
      <c r="AB24" s="16"/>
      <c r="AC24" s="16"/>
      <c r="AD24" s="16"/>
      <c r="AE24" s="16"/>
      <c r="AF24" s="16"/>
      <c r="AG24" s="16"/>
      <c r="AH24" s="16"/>
    </row>
    <row r="25" spans="1:34" ht="7.5" customHeight="1" x14ac:dyDescent="0.25">
      <c r="A25" s="58"/>
      <c r="B25" s="183"/>
      <c r="C25" s="183"/>
      <c r="D25" s="184"/>
      <c r="E25" s="175"/>
      <c r="F25" s="175"/>
      <c r="G25" s="175"/>
      <c r="H25" s="175"/>
      <c r="I25" s="175"/>
      <c r="J25" s="175"/>
      <c r="K25" s="175"/>
      <c r="L25" s="175"/>
      <c r="M25" s="175"/>
      <c r="N25" s="175"/>
      <c r="O25" s="175"/>
      <c r="P25" s="175"/>
      <c r="Q25" s="175"/>
      <c r="R25" s="175"/>
      <c r="S25" s="175"/>
      <c r="T25" s="175"/>
      <c r="U25" s="175"/>
      <c r="V25" s="175"/>
      <c r="W25" s="175"/>
      <c r="X25" s="175"/>
      <c r="Y25" s="175"/>
      <c r="Z25" s="176"/>
      <c r="AB25" s="16"/>
      <c r="AC25" s="16"/>
      <c r="AD25" s="16"/>
      <c r="AE25" s="16"/>
      <c r="AF25" s="16"/>
      <c r="AG25" s="16"/>
      <c r="AH25" s="16"/>
    </row>
    <row r="26" spans="1:34" ht="15.6" customHeight="1" x14ac:dyDescent="0.25">
      <c r="A26" s="61" t="str">
        <f>VLOOKUP(Vocabularies!B20,Vocabularies!$B$1:$I$358,Vocabularies!$J$2,0)</f>
        <v>Production plant (If different from above)</v>
      </c>
      <c r="B26" s="175"/>
      <c r="C26" s="175"/>
      <c r="D26" s="185"/>
      <c r="E26" s="186"/>
      <c r="F26" s="186"/>
      <c r="G26" s="186"/>
      <c r="H26" s="186"/>
      <c r="I26" s="186"/>
      <c r="J26" s="186"/>
      <c r="K26" s="186"/>
      <c r="L26" s="186"/>
      <c r="M26" s="186"/>
      <c r="N26" s="186"/>
      <c r="O26" s="186"/>
      <c r="P26" s="186"/>
      <c r="Q26" s="186"/>
      <c r="R26" s="186"/>
      <c r="S26" s="186"/>
      <c r="T26" s="186"/>
      <c r="U26" s="186"/>
      <c r="V26" s="186"/>
      <c r="W26" s="186"/>
      <c r="X26" s="186"/>
      <c r="Y26" s="186"/>
      <c r="Z26" s="176"/>
      <c r="AB26" s="16"/>
      <c r="AC26" s="16"/>
      <c r="AD26" s="16"/>
      <c r="AE26" s="16"/>
      <c r="AF26" s="18"/>
      <c r="AG26" s="16"/>
      <c r="AH26" s="16"/>
    </row>
    <row r="27" spans="1:34" ht="15" customHeight="1" x14ac:dyDescent="0.25">
      <c r="A27" s="61"/>
      <c r="B27" s="187" t="str">
        <f>VLOOKUP(Vocabularies!B21,Vocabularies!$B$1:$I$358,Vocabularies!$J$2,0)</f>
        <v>Company Name:</v>
      </c>
      <c r="C27" s="171"/>
      <c r="D27" s="164"/>
      <c r="E27" s="164"/>
      <c r="F27" s="188"/>
      <c r="G27" s="316"/>
      <c r="H27" s="317"/>
      <c r="I27" s="317"/>
      <c r="J27" s="317"/>
      <c r="K27" s="317"/>
      <c r="L27" s="317"/>
      <c r="M27" s="317"/>
      <c r="N27" s="317"/>
      <c r="O27" s="317"/>
      <c r="P27" s="317"/>
      <c r="Q27" s="317"/>
      <c r="R27" s="317"/>
      <c r="S27" s="317"/>
      <c r="T27" s="317"/>
      <c r="U27" s="317"/>
      <c r="V27" s="317"/>
      <c r="W27" s="317"/>
      <c r="X27" s="317"/>
      <c r="Y27" s="318"/>
      <c r="Z27" s="176"/>
      <c r="AB27" s="16"/>
      <c r="AC27" s="16"/>
      <c r="AD27" s="16"/>
      <c r="AE27" s="16"/>
      <c r="AF27" s="18"/>
      <c r="AG27" s="16"/>
      <c r="AH27" s="16"/>
    </row>
    <row r="28" spans="1:34" ht="15.6" customHeight="1" x14ac:dyDescent="0.25">
      <c r="A28" s="61"/>
      <c r="B28" s="187" t="str">
        <f>VLOOKUP(Vocabularies!B22,Vocabularies!$B$1:$I$358,Vocabularies!$J$2,0)</f>
        <v>Adress:</v>
      </c>
      <c r="C28" s="171"/>
      <c r="D28" s="189"/>
      <c r="E28" s="190"/>
      <c r="F28" s="191"/>
      <c r="G28" s="316"/>
      <c r="H28" s="317"/>
      <c r="I28" s="317"/>
      <c r="J28" s="317"/>
      <c r="K28" s="317"/>
      <c r="L28" s="317"/>
      <c r="M28" s="317"/>
      <c r="N28" s="317"/>
      <c r="O28" s="317"/>
      <c r="P28" s="317"/>
      <c r="Q28" s="317"/>
      <c r="R28" s="317"/>
      <c r="S28" s="317"/>
      <c r="T28" s="317"/>
      <c r="U28" s="317"/>
      <c r="V28" s="317"/>
      <c r="W28" s="317"/>
      <c r="X28" s="317"/>
      <c r="Y28" s="318"/>
      <c r="Z28" s="176"/>
      <c r="AB28" s="16"/>
      <c r="AC28" s="16"/>
      <c r="AD28" s="16"/>
      <c r="AE28" s="16"/>
      <c r="AF28" s="18"/>
      <c r="AG28" s="16"/>
      <c r="AH28" s="16"/>
    </row>
    <row r="29" spans="1:34" ht="15.6" customHeight="1" x14ac:dyDescent="0.25">
      <c r="A29" s="61"/>
      <c r="B29" s="187" t="str">
        <f>VLOOKUP(Vocabularies!B23,Vocabularies!$B$1:$I$358,Vocabularies!$J$2,0)</f>
        <v>City/State/ZIP/Country:</v>
      </c>
      <c r="C29" s="171"/>
      <c r="D29" s="189"/>
      <c r="E29" s="190"/>
      <c r="F29" s="191"/>
      <c r="G29" s="316"/>
      <c r="H29" s="317"/>
      <c r="I29" s="317"/>
      <c r="J29" s="317"/>
      <c r="K29" s="317"/>
      <c r="L29" s="317"/>
      <c r="M29" s="317"/>
      <c r="N29" s="317"/>
      <c r="O29" s="317"/>
      <c r="P29" s="317"/>
      <c r="Q29" s="317"/>
      <c r="R29" s="317"/>
      <c r="S29" s="317"/>
      <c r="T29" s="317"/>
      <c r="U29" s="317"/>
      <c r="V29" s="317"/>
      <c r="W29" s="317"/>
      <c r="X29" s="317"/>
      <c r="Y29" s="318"/>
      <c r="Z29" s="176"/>
      <c r="AB29" s="16"/>
      <c r="AC29" s="16"/>
      <c r="AD29" s="16"/>
      <c r="AE29" s="16"/>
      <c r="AF29" s="18"/>
      <c r="AG29" s="16"/>
      <c r="AH29" s="16"/>
    </row>
    <row r="30" spans="1:34" ht="7.5" customHeight="1" x14ac:dyDescent="0.25">
      <c r="A30" s="100"/>
      <c r="B30" s="181"/>
      <c r="C30" s="181"/>
      <c r="D30" s="189"/>
      <c r="E30" s="190"/>
      <c r="F30" s="190"/>
      <c r="G30" s="192"/>
      <c r="H30" s="192"/>
      <c r="I30" s="192"/>
      <c r="J30" s="192"/>
      <c r="K30" s="192"/>
      <c r="L30" s="192"/>
      <c r="M30" s="192"/>
      <c r="N30" s="192"/>
      <c r="O30" s="192"/>
      <c r="P30" s="192"/>
      <c r="Q30" s="192"/>
      <c r="R30" s="192"/>
      <c r="S30" s="192"/>
      <c r="T30" s="192"/>
      <c r="U30" s="192"/>
      <c r="V30" s="192"/>
      <c r="W30" s="192"/>
      <c r="X30" s="192"/>
      <c r="Y30" s="192"/>
      <c r="Z30" s="182"/>
      <c r="AB30" s="16"/>
      <c r="AC30" s="16"/>
      <c r="AD30" s="16"/>
      <c r="AE30" s="16"/>
      <c r="AF30" s="18"/>
      <c r="AG30" s="16"/>
      <c r="AH30" s="16"/>
    </row>
    <row r="31" spans="1:34" ht="7.5" customHeight="1" x14ac:dyDescent="0.25">
      <c r="A31" s="61"/>
      <c r="B31" s="175"/>
      <c r="C31" s="175"/>
      <c r="D31" s="185"/>
      <c r="E31" s="186"/>
      <c r="F31" s="186"/>
      <c r="G31" s="186"/>
      <c r="H31" s="186"/>
      <c r="I31" s="186"/>
      <c r="J31" s="186"/>
      <c r="K31" s="186"/>
      <c r="L31" s="186"/>
      <c r="M31" s="186"/>
      <c r="N31" s="186"/>
      <c r="O31" s="186"/>
      <c r="P31" s="186"/>
      <c r="Q31" s="186"/>
      <c r="R31" s="186"/>
      <c r="S31" s="186"/>
      <c r="T31" s="186"/>
      <c r="U31" s="186"/>
      <c r="V31" s="186"/>
      <c r="W31" s="186"/>
      <c r="X31" s="186"/>
      <c r="Y31" s="186"/>
      <c r="Z31" s="176"/>
      <c r="AB31" s="16"/>
      <c r="AC31" s="16"/>
      <c r="AD31" s="16"/>
      <c r="AE31" s="16"/>
      <c r="AF31" s="18"/>
      <c r="AG31" s="16"/>
      <c r="AH31" s="16"/>
    </row>
    <row r="32" spans="1:34" ht="15.6" customHeight="1" x14ac:dyDescent="0.25">
      <c r="A32" s="61" t="str">
        <f>VLOOKUP(Vocabularies!B24,Vocabularies!$B$1:$I$358,Vocabularies!$J$2,0)</f>
        <v>Contacts</v>
      </c>
      <c r="B32" s="175"/>
      <c r="C32" s="175"/>
      <c r="D32" s="185"/>
      <c r="E32" s="186"/>
      <c r="F32" s="186"/>
      <c r="G32" s="186"/>
      <c r="H32" s="186"/>
      <c r="I32" s="186"/>
      <c r="J32" s="186"/>
      <c r="K32" s="186"/>
      <c r="L32" s="186"/>
      <c r="M32" s="186"/>
      <c r="N32" s="186"/>
      <c r="O32" s="186" t="s">
        <v>156</v>
      </c>
      <c r="P32" s="186"/>
      <c r="Q32" s="186"/>
      <c r="R32" s="186"/>
      <c r="S32" s="186"/>
      <c r="T32" s="186"/>
      <c r="U32" s="186"/>
      <c r="V32" s="186"/>
      <c r="W32" s="186"/>
      <c r="X32" s="186"/>
      <c r="Y32" s="186"/>
      <c r="Z32" s="176"/>
      <c r="AB32" s="16"/>
      <c r="AC32" s="16"/>
      <c r="AD32" s="16"/>
      <c r="AE32" s="16"/>
      <c r="AF32" s="18"/>
      <c r="AG32" s="16"/>
      <c r="AH32" s="16"/>
    </row>
    <row r="33" spans="1:34" ht="15.6" customHeight="1" x14ac:dyDescent="0.25">
      <c r="A33" s="61"/>
      <c r="B33" s="193" t="str">
        <f>VLOOKUP(Vocabularies!B25,Vocabularies!$B$1:$I$358,Vocabularies!$J$2,0)</f>
        <v>Position</v>
      </c>
      <c r="C33" s="171"/>
      <c r="D33" s="189"/>
      <c r="E33" s="190"/>
      <c r="F33" s="191"/>
      <c r="G33" s="194" t="str">
        <f>VLOOKUP(Vocabularies!B26,Vocabularies!$B$1:$I$358,Vocabularies!$J$2,0)</f>
        <v>Name</v>
      </c>
      <c r="H33" s="195"/>
      <c r="I33" s="195"/>
      <c r="J33" s="195"/>
      <c r="K33" s="195"/>
      <c r="L33" s="196"/>
      <c r="M33" s="194" t="str">
        <f>VLOOKUP(Vocabularies!B27,Vocabularies!$B$1:$I$358,Vocabularies!$J$2,0)</f>
        <v>Direct Telephone number</v>
      </c>
      <c r="N33" s="195"/>
      <c r="O33" s="195"/>
      <c r="P33" s="195"/>
      <c r="Q33" s="196"/>
      <c r="R33" s="197" t="str">
        <f>VLOOKUP(Vocabularies!B28,Vocabularies!$B$1:$I$358,Vocabularies!$J$2,0)</f>
        <v>E-Mail</v>
      </c>
      <c r="S33" s="195"/>
      <c r="T33" s="195"/>
      <c r="U33" s="195"/>
      <c r="V33" s="195"/>
      <c r="W33" s="195"/>
      <c r="X33" s="195"/>
      <c r="Y33" s="196"/>
      <c r="Z33" s="176"/>
      <c r="AB33" s="16"/>
      <c r="AC33" s="16"/>
      <c r="AD33" s="16"/>
      <c r="AE33" s="16"/>
      <c r="AF33" s="18"/>
      <c r="AG33" s="16"/>
      <c r="AH33" s="16"/>
    </row>
    <row r="34" spans="1:34" ht="24" customHeight="1" x14ac:dyDescent="0.25">
      <c r="A34" s="61"/>
      <c r="B34" s="281" t="str">
        <f>VLOOKUP(Vocabularies!B29,Vocabularies!$B$1:$I$358,Vocabularies!$J$2,0)</f>
        <v>Managing Director / Chief Executive Officer</v>
      </c>
      <c r="C34" s="282"/>
      <c r="D34" s="282"/>
      <c r="E34" s="282"/>
      <c r="F34" s="283"/>
      <c r="G34" s="258"/>
      <c r="H34" s="259"/>
      <c r="I34" s="259"/>
      <c r="J34" s="259"/>
      <c r="K34" s="259"/>
      <c r="L34" s="260"/>
      <c r="M34" s="258"/>
      <c r="N34" s="259"/>
      <c r="O34" s="259"/>
      <c r="P34" s="259"/>
      <c r="Q34" s="260"/>
      <c r="R34" s="259"/>
      <c r="S34" s="259"/>
      <c r="T34" s="259"/>
      <c r="U34" s="259"/>
      <c r="V34" s="259"/>
      <c r="W34" s="259"/>
      <c r="X34" s="259"/>
      <c r="Y34" s="260"/>
      <c r="Z34" s="176"/>
      <c r="AB34" s="16"/>
      <c r="AC34" s="16"/>
      <c r="AD34" s="16"/>
      <c r="AE34" s="16"/>
      <c r="AF34" s="18"/>
      <c r="AG34" s="16"/>
      <c r="AH34" s="16"/>
    </row>
    <row r="35" spans="1:34" ht="24" customHeight="1" x14ac:dyDescent="0.25">
      <c r="A35" s="61"/>
      <c r="B35" s="281" t="str">
        <f>VLOOKUP(Vocabularies!B30,Vocabularies!$B$1:$I$358,Vocabularies!$J$2,0)</f>
        <v>Sales Manager</v>
      </c>
      <c r="C35" s="282"/>
      <c r="D35" s="282"/>
      <c r="E35" s="282"/>
      <c r="F35" s="283"/>
      <c r="G35" s="258"/>
      <c r="H35" s="259"/>
      <c r="I35" s="259"/>
      <c r="J35" s="259"/>
      <c r="K35" s="259"/>
      <c r="L35" s="260"/>
      <c r="M35" s="258"/>
      <c r="N35" s="259"/>
      <c r="O35" s="259"/>
      <c r="P35" s="259"/>
      <c r="Q35" s="260"/>
      <c r="R35" s="259"/>
      <c r="S35" s="259"/>
      <c r="T35" s="259"/>
      <c r="U35" s="259"/>
      <c r="V35" s="259"/>
      <c r="W35" s="259"/>
      <c r="X35" s="259"/>
      <c r="Y35" s="260"/>
      <c r="Z35" s="176"/>
      <c r="AB35" s="16"/>
      <c r="AC35" s="16"/>
      <c r="AD35" s="16"/>
      <c r="AE35" s="16"/>
      <c r="AF35" s="18"/>
      <c r="AG35" s="16"/>
      <c r="AH35" s="16"/>
    </row>
    <row r="36" spans="1:34" ht="24" customHeight="1" x14ac:dyDescent="0.25">
      <c r="A36" s="61"/>
      <c r="B36" s="281" t="str">
        <f>VLOOKUP(Vocabularies!B31,Vocabularies!$B$1:$I$358,Vocabularies!$J$2,0)</f>
        <v>Plant Manager Logistics</v>
      </c>
      <c r="C36" s="282"/>
      <c r="D36" s="282"/>
      <c r="E36" s="282"/>
      <c r="F36" s="283"/>
      <c r="G36" s="258"/>
      <c r="H36" s="259"/>
      <c r="I36" s="259"/>
      <c r="J36" s="259"/>
      <c r="K36" s="259"/>
      <c r="L36" s="260"/>
      <c r="M36" s="258"/>
      <c r="N36" s="259"/>
      <c r="O36" s="259"/>
      <c r="P36" s="259"/>
      <c r="Q36" s="260"/>
      <c r="R36" s="259"/>
      <c r="S36" s="259"/>
      <c r="T36" s="259"/>
      <c r="U36" s="259"/>
      <c r="V36" s="259"/>
      <c r="W36" s="259"/>
      <c r="X36" s="259"/>
      <c r="Y36" s="260"/>
      <c r="Z36" s="176"/>
      <c r="AB36" s="16"/>
      <c r="AC36" s="16"/>
      <c r="AD36" s="16"/>
      <c r="AE36" s="16"/>
      <c r="AF36" s="18"/>
      <c r="AG36" s="16"/>
      <c r="AH36" s="16"/>
    </row>
    <row r="37" spans="1:34" ht="24" customHeight="1" x14ac:dyDescent="0.25">
      <c r="A37" s="61"/>
      <c r="B37" s="281" t="str">
        <f>VLOOKUP(Vocabularies!B32,Vocabularies!$B$1:$I$358,Vocabularies!$J$2,0)</f>
        <v>Plant Manager Production</v>
      </c>
      <c r="C37" s="282"/>
      <c r="D37" s="282"/>
      <c r="E37" s="282"/>
      <c r="F37" s="283"/>
      <c r="G37" s="258"/>
      <c r="H37" s="259"/>
      <c r="I37" s="259"/>
      <c r="J37" s="259"/>
      <c r="K37" s="259"/>
      <c r="L37" s="260"/>
      <c r="M37" s="258"/>
      <c r="N37" s="259"/>
      <c r="O37" s="259"/>
      <c r="P37" s="259"/>
      <c r="Q37" s="260"/>
      <c r="R37" s="259"/>
      <c r="S37" s="259"/>
      <c r="T37" s="259"/>
      <c r="U37" s="259"/>
      <c r="V37" s="259"/>
      <c r="W37" s="259"/>
      <c r="X37" s="259"/>
      <c r="Y37" s="260"/>
      <c r="Z37" s="176"/>
      <c r="AB37" s="16"/>
      <c r="AC37" s="16"/>
      <c r="AD37" s="16"/>
      <c r="AE37" s="16"/>
      <c r="AF37" s="18"/>
      <c r="AG37" s="16"/>
      <c r="AH37" s="16"/>
    </row>
    <row r="38" spans="1:34" ht="24" customHeight="1" x14ac:dyDescent="0.25">
      <c r="A38" s="61"/>
      <c r="B38" s="281" t="str">
        <f>VLOOKUP(Vocabularies!B33,Vocabularies!$B$1:$I$358,Vocabularies!$J$2,0)</f>
        <v>Plant Manager Engineering</v>
      </c>
      <c r="C38" s="282"/>
      <c r="D38" s="282"/>
      <c r="E38" s="282"/>
      <c r="F38" s="283"/>
      <c r="G38" s="258"/>
      <c r="H38" s="259"/>
      <c r="I38" s="259"/>
      <c r="J38" s="259"/>
      <c r="K38" s="259"/>
      <c r="L38" s="260"/>
      <c r="M38" s="258"/>
      <c r="N38" s="259"/>
      <c r="O38" s="259"/>
      <c r="P38" s="259"/>
      <c r="Q38" s="260"/>
      <c r="R38" s="259"/>
      <c r="S38" s="259"/>
      <c r="T38" s="259"/>
      <c r="U38" s="259"/>
      <c r="V38" s="259"/>
      <c r="W38" s="259"/>
      <c r="X38" s="259"/>
      <c r="Y38" s="260"/>
      <c r="Z38" s="176"/>
      <c r="AB38" s="16"/>
      <c r="AC38" s="16"/>
      <c r="AD38" s="16"/>
      <c r="AE38" s="16"/>
      <c r="AF38" s="18"/>
      <c r="AG38" s="16"/>
      <c r="AH38" s="16"/>
    </row>
    <row r="39" spans="1:34" ht="24" customHeight="1" x14ac:dyDescent="0.25">
      <c r="A39" s="61"/>
      <c r="B39" s="281" t="str">
        <f>VLOOKUP(Vocabularies!B34,Vocabularies!$B$1:$I$358,Vocabularies!$J$2,0)</f>
        <v xml:space="preserve">Plant Manager Quality </v>
      </c>
      <c r="C39" s="282"/>
      <c r="D39" s="282"/>
      <c r="E39" s="282"/>
      <c r="F39" s="283"/>
      <c r="G39" s="258"/>
      <c r="H39" s="259"/>
      <c r="I39" s="259"/>
      <c r="J39" s="259"/>
      <c r="K39" s="259"/>
      <c r="L39" s="260"/>
      <c r="M39" s="258"/>
      <c r="N39" s="259"/>
      <c r="O39" s="259"/>
      <c r="P39" s="259"/>
      <c r="Q39" s="260"/>
      <c r="R39" s="259"/>
      <c r="S39" s="259"/>
      <c r="T39" s="259"/>
      <c r="U39" s="259"/>
      <c r="V39" s="259"/>
      <c r="W39" s="259"/>
      <c r="X39" s="259"/>
      <c r="Y39" s="260"/>
      <c r="Z39" s="176"/>
      <c r="AB39" s="16"/>
      <c r="AC39" s="16"/>
      <c r="AD39" s="16"/>
      <c r="AE39" s="16"/>
      <c r="AF39" s="18"/>
      <c r="AG39" s="16"/>
      <c r="AH39" s="16"/>
    </row>
    <row r="40" spans="1:34" ht="24" customHeight="1" x14ac:dyDescent="0.25">
      <c r="A40" s="61"/>
      <c r="B40" s="281" t="str">
        <f>VLOOKUP(Vocabularies!B35,Vocabularies!$B$1:$I$358,Vocabularies!$J$2,0)</f>
        <v xml:space="preserve">Plant Manager Environmental </v>
      </c>
      <c r="C40" s="282"/>
      <c r="D40" s="282"/>
      <c r="E40" s="282"/>
      <c r="F40" s="283"/>
      <c r="G40" s="258"/>
      <c r="H40" s="259"/>
      <c r="I40" s="259"/>
      <c r="J40" s="259"/>
      <c r="K40" s="259"/>
      <c r="L40" s="260"/>
      <c r="M40" s="258"/>
      <c r="N40" s="259"/>
      <c r="O40" s="259"/>
      <c r="P40" s="259"/>
      <c r="Q40" s="260"/>
      <c r="R40" s="259"/>
      <c r="S40" s="259"/>
      <c r="T40" s="259"/>
      <c r="U40" s="259"/>
      <c r="V40" s="259"/>
      <c r="W40" s="259"/>
      <c r="X40" s="259"/>
      <c r="Y40" s="260"/>
      <c r="Z40" s="176"/>
      <c r="AB40" s="16"/>
      <c r="AC40" s="16"/>
      <c r="AD40" s="16"/>
      <c r="AE40" s="16"/>
      <c r="AF40" s="18"/>
      <c r="AG40" s="16"/>
      <c r="AH40" s="16"/>
    </row>
    <row r="41" spans="1:34" ht="24" customHeight="1" x14ac:dyDescent="0.25">
      <c r="A41" s="61"/>
      <c r="B41" s="281" t="str">
        <f>VLOOKUP(Vocabularies!B36,Vocabularies!$B$1:$I$358,Vocabularies!$J$2,0)</f>
        <v xml:space="preserve">Safety – responsible </v>
      </c>
      <c r="C41" s="282"/>
      <c r="D41" s="282"/>
      <c r="E41" s="282"/>
      <c r="F41" s="283"/>
      <c r="G41" s="258"/>
      <c r="H41" s="259"/>
      <c r="I41" s="259"/>
      <c r="J41" s="259"/>
      <c r="K41" s="259"/>
      <c r="L41" s="260"/>
      <c r="M41" s="258"/>
      <c r="N41" s="259"/>
      <c r="O41" s="259"/>
      <c r="P41" s="259"/>
      <c r="Q41" s="260"/>
      <c r="R41" s="259"/>
      <c r="S41" s="259"/>
      <c r="T41" s="259"/>
      <c r="U41" s="259"/>
      <c r="V41" s="259"/>
      <c r="W41" s="259"/>
      <c r="X41" s="259"/>
      <c r="Y41" s="260"/>
      <c r="Z41" s="176"/>
      <c r="AB41" s="16"/>
      <c r="AC41" s="16"/>
      <c r="AD41" s="16"/>
      <c r="AE41" s="16"/>
      <c r="AF41" s="18"/>
      <c r="AG41" s="16"/>
      <c r="AH41" s="16"/>
    </row>
    <row r="42" spans="1:34" ht="15" customHeight="1" x14ac:dyDescent="0.25">
      <c r="A42" s="58"/>
      <c r="B42" s="175"/>
      <c r="C42" s="175"/>
      <c r="D42" s="186"/>
      <c r="E42" s="186"/>
      <c r="F42" s="186"/>
      <c r="G42" s="186"/>
      <c r="H42" s="186"/>
      <c r="I42" s="186"/>
      <c r="J42" s="186"/>
      <c r="K42" s="186"/>
      <c r="L42" s="186"/>
      <c r="M42" s="186"/>
      <c r="N42" s="186"/>
      <c r="O42" s="186"/>
      <c r="P42" s="186"/>
      <c r="Q42" s="186"/>
      <c r="R42" s="186"/>
      <c r="S42" s="186"/>
      <c r="T42" s="186"/>
      <c r="U42" s="186"/>
      <c r="V42" s="186"/>
      <c r="W42" s="186"/>
      <c r="X42" s="186"/>
      <c r="Y42" s="186"/>
      <c r="Z42" s="176"/>
      <c r="AB42" s="16"/>
      <c r="AC42" s="16"/>
      <c r="AD42" s="16"/>
      <c r="AE42" s="16"/>
      <c r="AF42" s="18"/>
      <c r="AG42" s="16"/>
      <c r="AH42" s="16"/>
    </row>
    <row r="43" spans="1:34" ht="5.4" customHeight="1" x14ac:dyDescent="0.25">
      <c r="A43" s="58"/>
      <c r="B43" s="175"/>
      <c r="C43" s="175"/>
      <c r="D43" s="186"/>
      <c r="E43" s="186"/>
      <c r="F43" s="186"/>
      <c r="G43" s="186"/>
      <c r="H43" s="186"/>
      <c r="I43" s="186"/>
      <c r="J43" s="186"/>
      <c r="K43" s="186"/>
      <c r="L43" s="186"/>
      <c r="M43" s="186"/>
      <c r="N43" s="186"/>
      <c r="O43" s="186"/>
      <c r="P43" s="186"/>
      <c r="Q43" s="186"/>
      <c r="R43" s="186"/>
      <c r="S43" s="186"/>
      <c r="T43" s="186"/>
      <c r="U43" s="186"/>
      <c r="V43" s="186"/>
      <c r="W43" s="186"/>
      <c r="X43" s="186"/>
      <c r="Y43" s="186"/>
      <c r="Z43" s="176"/>
      <c r="AB43" s="16"/>
      <c r="AC43" s="16"/>
      <c r="AD43" s="16"/>
      <c r="AE43" s="16"/>
      <c r="AF43" s="18"/>
      <c r="AG43" s="16"/>
      <c r="AH43" s="16"/>
    </row>
    <row r="44" spans="1:34" ht="5.4" customHeight="1" x14ac:dyDescent="0.25">
      <c r="A44" s="58"/>
      <c r="B44" s="175"/>
      <c r="C44" s="175"/>
      <c r="D44" s="186"/>
      <c r="E44" s="186"/>
      <c r="F44" s="186"/>
      <c r="G44" s="186"/>
      <c r="H44" s="186"/>
      <c r="I44" s="186"/>
      <c r="J44" s="186"/>
      <c r="K44" s="186"/>
      <c r="L44" s="186"/>
      <c r="M44" s="186"/>
      <c r="N44" s="186"/>
      <c r="O44" s="186"/>
      <c r="P44" s="186"/>
      <c r="Q44" s="186"/>
      <c r="R44" s="186"/>
      <c r="S44" s="186"/>
      <c r="T44" s="186"/>
      <c r="U44" s="186"/>
      <c r="V44" s="186"/>
      <c r="W44" s="186"/>
      <c r="X44" s="186"/>
      <c r="Y44" s="186"/>
      <c r="Z44" s="176"/>
      <c r="AB44" s="16"/>
      <c r="AC44" s="16"/>
      <c r="AD44" s="16"/>
      <c r="AE44" s="16"/>
      <c r="AF44" s="18"/>
      <c r="AG44" s="16"/>
      <c r="AH44" s="16"/>
    </row>
    <row r="45" spans="1:34" x14ac:dyDescent="0.25">
      <c r="A45" s="58"/>
      <c r="B45" s="175"/>
      <c r="C45" s="175"/>
      <c r="D45" s="186"/>
      <c r="E45" s="186"/>
      <c r="F45" s="186"/>
      <c r="G45" s="186"/>
      <c r="H45" s="186"/>
      <c r="I45" s="186"/>
      <c r="J45" s="186"/>
      <c r="K45" s="186"/>
      <c r="L45" s="186"/>
      <c r="M45" s="186"/>
      <c r="N45" s="186"/>
      <c r="O45" s="186"/>
      <c r="P45" s="186"/>
      <c r="Q45" s="186"/>
      <c r="R45" s="186"/>
      <c r="S45" s="186"/>
      <c r="T45" s="186"/>
      <c r="U45" s="186"/>
      <c r="V45" s="186"/>
      <c r="W45" s="186"/>
      <c r="X45" s="186"/>
      <c r="Y45" s="186"/>
      <c r="Z45" s="176"/>
      <c r="AB45" s="16"/>
      <c r="AC45" s="16"/>
      <c r="AD45" s="16"/>
      <c r="AE45" s="16"/>
      <c r="AF45" s="16"/>
      <c r="AG45" s="16"/>
      <c r="AH45" s="16"/>
    </row>
    <row r="46" spans="1:34" ht="4.95" customHeight="1" x14ac:dyDescent="0.25">
      <c r="A46" s="58"/>
      <c r="B46" s="175"/>
      <c r="C46" s="175"/>
      <c r="D46" s="175"/>
      <c r="E46" s="175"/>
      <c r="F46" s="175"/>
      <c r="G46" s="175"/>
      <c r="H46" s="175"/>
      <c r="I46" s="175"/>
      <c r="J46" s="175"/>
      <c r="K46" s="175"/>
      <c r="L46" s="175"/>
      <c r="M46" s="175"/>
      <c r="N46" s="175"/>
      <c r="O46" s="175"/>
      <c r="P46" s="175"/>
      <c r="Q46" s="175"/>
      <c r="R46" s="175"/>
      <c r="S46" s="57"/>
      <c r="T46" s="57"/>
      <c r="U46" s="57"/>
      <c r="V46" s="175"/>
      <c r="W46" s="57"/>
      <c r="X46" s="57"/>
      <c r="Y46" s="57"/>
      <c r="Z46" s="176"/>
      <c r="AB46" s="16"/>
      <c r="AC46" s="16"/>
      <c r="AD46" s="16"/>
      <c r="AE46" s="16"/>
      <c r="AF46" s="16"/>
      <c r="AG46" s="16"/>
      <c r="AH46" s="16"/>
    </row>
    <row r="47" spans="1:34" ht="4.95" customHeight="1" x14ac:dyDescent="0.25">
      <c r="A47" s="58"/>
      <c r="B47" s="175"/>
      <c r="C47" s="175"/>
      <c r="D47" s="175"/>
      <c r="E47" s="175"/>
      <c r="F47" s="175"/>
      <c r="G47" s="175"/>
      <c r="H47" s="175"/>
      <c r="I47" s="175"/>
      <c r="J47" s="175"/>
      <c r="K47" s="175"/>
      <c r="L47" s="175"/>
      <c r="M47" s="175"/>
      <c r="N47" s="175"/>
      <c r="O47" s="175"/>
      <c r="P47" s="175"/>
      <c r="Q47" s="175"/>
      <c r="R47" s="175"/>
      <c r="S47" s="57"/>
      <c r="T47" s="57"/>
      <c r="U47" s="57"/>
      <c r="V47" s="175"/>
      <c r="W47" s="57"/>
      <c r="X47" s="57"/>
      <c r="Y47" s="57"/>
      <c r="Z47" s="176"/>
      <c r="AB47" s="16"/>
      <c r="AC47" s="16"/>
      <c r="AD47" s="16"/>
      <c r="AE47" s="16"/>
      <c r="AF47" s="16"/>
      <c r="AG47" s="16"/>
      <c r="AH47" s="16"/>
    </row>
    <row r="48" spans="1:34" ht="4.95" customHeight="1" x14ac:dyDescent="0.25">
      <c r="A48" s="179"/>
      <c r="B48" s="181"/>
      <c r="C48" s="181"/>
      <c r="D48" s="181"/>
      <c r="E48" s="181"/>
      <c r="F48" s="181"/>
      <c r="G48" s="181"/>
      <c r="H48" s="181"/>
      <c r="I48" s="181"/>
      <c r="J48" s="181"/>
      <c r="K48" s="181"/>
      <c r="L48" s="181"/>
      <c r="M48" s="181"/>
      <c r="N48" s="181"/>
      <c r="O48" s="181"/>
      <c r="P48" s="181"/>
      <c r="Q48" s="181"/>
      <c r="R48" s="181"/>
      <c r="S48" s="181"/>
      <c r="T48" s="181"/>
      <c r="U48" s="181"/>
      <c r="V48" s="181"/>
      <c r="W48" s="181"/>
      <c r="X48" s="181"/>
      <c r="Y48" s="181"/>
      <c r="Z48" s="182"/>
    </row>
    <row r="49" spans="1:31" ht="6" customHeight="1" x14ac:dyDescent="0.25">
      <c r="A49" s="198"/>
      <c r="B49" s="175"/>
      <c r="C49" s="199"/>
      <c r="D49" s="199"/>
      <c r="E49" s="199"/>
      <c r="F49" s="199"/>
      <c r="G49" s="199"/>
      <c r="H49" s="199"/>
      <c r="I49" s="200"/>
      <c r="J49" s="200"/>
      <c r="K49" s="199"/>
      <c r="L49" s="199"/>
      <c r="M49" s="200"/>
      <c r="N49" s="175"/>
      <c r="O49" s="184"/>
      <c r="P49" s="175"/>
      <c r="Q49" s="175"/>
      <c r="R49" s="175"/>
      <c r="S49" s="175"/>
      <c r="T49" s="175"/>
      <c r="U49" s="175"/>
      <c r="V49" s="175"/>
      <c r="W49" s="175"/>
      <c r="X49" s="175"/>
      <c r="Y49" s="175"/>
      <c r="Z49" s="176"/>
      <c r="AE49" s="14"/>
    </row>
    <row r="50" spans="1:31" ht="24.6" customHeight="1" x14ac:dyDescent="0.25">
      <c r="A50" s="151" t="str">
        <f>VLOOKUP(Vocabularies!B243,Vocabularies!$B$1:$I$358,Vocabularies!$J$2,0)</f>
        <v>Result:</v>
      </c>
      <c r="B50" s="175"/>
      <c r="C50" s="199"/>
      <c r="D50" s="199"/>
      <c r="E50" s="201"/>
      <c r="F50" s="201"/>
      <c r="G50" s="201"/>
      <c r="H50" s="201"/>
      <c r="I50" s="175"/>
      <c r="J50" s="175"/>
      <c r="K50" s="202"/>
      <c r="L50" s="304">
        <f>Formeln!L20</f>
        <v>0</v>
      </c>
      <c r="M50" s="305"/>
      <c r="N50" s="175"/>
      <c r="O50" s="314" t="str">
        <f>Formeln!R28</f>
        <v>C</v>
      </c>
      <c r="P50" s="315"/>
      <c r="Q50" s="309"/>
      <c r="R50" s="309"/>
      <c r="S50" s="175"/>
      <c r="T50" s="175"/>
      <c r="U50" s="203">
        <f>L50</f>
        <v>0</v>
      </c>
      <c r="V50" s="175"/>
      <c r="W50" s="19" t="str">
        <f>IF(L50&lt;0.6,"Red/Rot","")</f>
        <v>Red/Rot</v>
      </c>
      <c r="X50" s="175"/>
      <c r="Y50" s="175"/>
      <c r="Z50" s="176"/>
      <c r="AE50" s="14"/>
    </row>
    <row r="51" spans="1:31" ht="27.6" customHeight="1" x14ac:dyDescent="0.25">
      <c r="A51" s="204" t="str">
        <f>VLOOKUP(Vocabularies!B244,Vocabularies!$B$1:$I$358,Vocabularies!$J$2,0)</f>
        <v xml:space="preserve"> 90% - 100%, = A-Classifikation</v>
      </c>
      <c r="B51" s="175"/>
      <c r="C51" s="199"/>
      <c r="D51" s="199"/>
      <c r="E51" s="199"/>
      <c r="F51" s="199"/>
      <c r="G51" s="199"/>
      <c r="H51" s="199"/>
      <c r="I51" s="200"/>
      <c r="J51" s="200"/>
      <c r="K51" s="199"/>
      <c r="L51" s="199"/>
      <c r="M51" s="200"/>
      <c r="N51" s="175"/>
      <c r="O51" s="184"/>
      <c r="P51" s="175"/>
      <c r="Q51" s="175"/>
      <c r="R51" s="175"/>
      <c r="S51" s="175"/>
      <c r="T51" s="175"/>
      <c r="U51" s="203">
        <f>L50</f>
        <v>0</v>
      </c>
      <c r="V51" s="175"/>
      <c r="W51" s="19" t="str">
        <f>IF(L50&gt;=0.9,"",IF(L50&gt;=0.6,"Yellow/Gelb", IF(L50&lt;0.6,"")))</f>
        <v/>
      </c>
      <c r="X51" s="175"/>
      <c r="Y51" s="175"/>
      <c r="Z51" s="176"/>
      <c r="AE51" s="14"/>
    </row>
    <row r="52" spans="1:31" ht="22.2" customHeight="1" x14ac:dyDescent="0.25">
      <c r="A52" s="198" t="str">
        <f>VLOOKUP(Vocabularies!B245,Vocabularies!$B$1:$I$358,Vocabularies!$J$2,0)</f>
        <v>&lt; 90% - 60%, = B-Classifikation</v>
      </c>
      <c r="B52" s="175"/>
      <c r="C52" s="199"/>
      <c r="D52" s="199"/>
      <c r="E52" s="154"/>
      <c r="F52" s="154"/>
      <c r="G52" s="154"/>
      <c r="H52" s="154"/>
      <c r="I52" s="154"/>
      <c r="J52" s="154"/>
      <c r="K52" s="154"/>
      <c r="L52" s="154"/>
      <c r="M52" s="154"/>
      <c r="N52" s="154"/>
      <c r="O52" s="154"/>
      <c r="P52" s="154"/>
      <c r="Q52" s="154"/>
      <c r="R52" s="154"/>
      <c r="S52" s="154"/>
      <c r="T52" s="175"/>
      <c r="U52" s="203">
        <f>L50</f>
        <v>0</v>
      </c>
      <c r="V52" s="175"/>
      <c r="W52" s="19" t="str">
        <f>IF(L50&gt;=0.9,"Green/Grün","")</f>
        <v/>
      </c>
      <c r="X52" s="175"/>
      <c r="Y52" s="175"/>
      <c r="Z52" s="176"/>
      <c r="AE52" s="14"/>
    </row>
    <row r="53" spans="1:31" ht="21.75" customHeight="1" x14ac:dyDescent="0.25">
      <c r="A53" s="198" t="str">
        <f>VLOOKUP(Vocabularies!B246,Vocabularies!$B$1:$I$358,Vocabularies!$J$2,0)</f>
        <v>&lt; 60% , = C-Classifikation</v>
      </c>
      <c r="B53" s="175"/>
      <c r="C53" s="199"/>
      <c r="D53" s="199"/>
      <c r="E53" s="199"/>
      <c r="F53" s="199"/>
      <c r="G53" s="199"/>
      <c r="H53" s="199"/>
      <c r="I53" s="200"/>
      <c r="J53" s="200"/>
      <c r="K53" s="199"/>
      <c r="L53" s="199"/>
      <c r="M53" s="200"/>
      <c r="N53" s="175"/>
      <c r="O53" s="184"/>
      <c r="P53" s="175"/>
      <c r="Q53" s="175"/>
      <c r="R53" s="175"/>
      <c r="S53" s="175"/>
      <c r="T53" s="175"/>
      <c r="U53" s="175"/>
      <c r="V53" s="175"/>
      <c r="W53" s="175"/>
      <c r="X53" s="175"/>
      <c r="Y53" s="175"/>
      <c r="Z53" s="176"/>
      <c r="AE53" s="14"/>
    </row>
    <row r="54" spans="1:31" ht="17.399999999999999" x14ac:dyDescent="0.3">
      <c r="A54" s="224"/>
      <c r="B54" s="225"/>
      <c r="C54" s="225"/>
      <c r="D54" s="225"/>
      <c r="E54" s="225"/>
      <c r="F54" s="225"/>
      <c r="G54" s="226"/>
      <c r="H54" s="226"/>
      <c r="I54" s="227"/>
      <c r="J54" s="227"/>
      <c r="K54" s="227"/>
      <c r="L54" s="227"/>
      <c r="M54" s="227"/>
      <c r="N54" s="227"/>
      <c r="O54" s="227"/>
      <c r="P54" s="228"/>
      <c r="Q54" s="228"/>
      <c r="R54" s="228"/>
      <c r="S54" s="228"/>
      <c r="T54" s="228"/>
      <c r="U54" s="228"/>
      <c r="V54" s="228"/>
      <c r="W54" s="228"/>
      <c r="X54" s="228"/>
      <c r="Y54" s="228"/>
      <c r="Z54" s="229"/>
    </row>
    <row r="55" spans="1:31" ht="15" customHeight="1" x14ac:dyDescent="0.25">
      <c r="A55" s="224"/>
      <c r="B55" s="230"/>
      <c r="C55" s="231"/>
      <c r="D55" s="231"/>
      <c r="E55" s="225"/>
      <c r="F55" s="225"/>
      <c r="G55" s="225"/>
      <c r="H55" s="225"/>
      <c r="I55" s="225"/>
      <c r="J55" s="225"/>
      <c r="K55" s="225"/>
      <c r="L55" s="225"/>
      <c r="M55" s="225"/>
      <c r="N55" s="225"/>
      <c r="O55" s="231"/>
      <c r="P55" s="228"/>
      <c r="Q55" s="228"/>
      <c r="R55" s="228"/>
      <c r="S55" s="228"/>
      <c r="T55" s="228"/>
      <c r="U55" s="228"/>
      <c r="V55" s="228"/>
      <c r="W55" s="228"/>
      <c r="X55" s="228"/>
      <c r="Y55" s="228"/>
      <c r="Z55" s="229"/>
    </row>
    <row r="56" spans="1:31" ht="15" customHeight="1" x14ac:dyDescent="0.25">
      <c r="A56" s="224"/>
      <c r="B56" s="232"/>
      <c r="C56" s="225"/>
      <c r="D56" s="225"/>
      <c r="E56" s="225"/>
      <c r="F56" s="225"/>
      <c r="G56" s="228"/>
      <c r="H56" s="228"/>
      <c r="I56" s="228"/>
      <c r="J56" s="228"/>
      <c r="K56" s="228"/>
      <c r="L56" s="228"/>
      <c r="M56" s="228"/>
      <c r="N56" s="228"/>
      <c r="O56" s="225"/>
      <c r="P56" s="228"/>
      <c r="Q56" s="228"/>
      <c r="R56" s="228"/>
      <c r="S56" s="228"/>
      <c r="T56" s="228"/>
      <c r="U56" s="228"/>
      <c r="V56" s="228"/>
      <c r="W56" s="228"/>
      <c r="X56" s="228"/>
      <c r="Y56" s="228"/>
      <c r="Z56" s="229"/>
    </row>
    <row r="57" spans="1:31" ht="15" x14ac:dyDescent="0.25">
      <c r="A57" s="224"/>
      <c r="B57" s="233"/>
      <c r="C57" s="225"/>
      <c r="D57" s="225"/>
      <c r="E57" s="225"/>
      <c r="F57" s="225"/>
      <c r="G57" s="228"/>
      <c r="H57" s="228"/>
      <c r="I57" s="228"/>
      <c r="J57" s="228"/>
      <c r="K57" s="228"/>
      <c r="L57" s="228"/>
      <c r="M57" s="228"/>
      <c r="N57" s="228"/>
      <c r="O57" s="231"/>
      <c r="P57" s="228"/>
      <c r="Q57" s="228"/>
      <c r="R57" s="228"/>
      <c r="S57" s="228"/>
      <c r="T57" s="228"/>
      <c r="U57" s="228"/>
      <c r="V57" s="228"/>
      <c r="W57" s="228"/>
      <c r="X57" s="228"/>
      <c r="Y57" s="228"/>
      <c r="Z57" s="229"/>
    </row>
    <row r="58" spans="1:31" ht="15" customHeight="1" x14ac:dyDescent="0.25">
      <c r="A58" s="224"/>
      <c r="B58" s="234"/>
      <c r="C58" s="225"/>
      <c r="D58" s="225"/>
      <c r="E58" s="225"/>
      <c r="F58" s="225"/>
      <c r="G58" s="228"/>
      <c r="H58" s="228"/>
      <c r="I58" s="228"/>
      <c r="J58" s="228"/>
      <c r="K58" s="228"/>
      <c r="L58" s="228"/>
      <c r="M58" s="228"/>
      <c r="N58" s="228"/>
      <c r="O58" s="225"/>
      <c r="P58" s="228"/>
      <c r="Q58" s="228"/>
      <c r="R58" s="228"/>
      <c r="S58" s="228"/>
      <c r="T58" s="228"/>
      <c r="U58" s="228"/>
      <c r="V58" s="228"/>
      <c r="W58" s="228"/>
      <c r="X58" s="228"/>
      <c r="Y58" s="228"/>
      <c r="Z58" s="229"/>
    </row>
    <row r="59" spans="1:31" ht="15" customHeight="1" x14ac:dyDescent="0.25">
      <c r="A59" s="224"/>
      <c r="B59" s="233"/>
      <c r="C59" s="231"/>
      <c r="D59" s="231"/>
      <c r="E59" s="225"/>
      <c r="F59" s="225"/>
      <c r="G59" s="228"/>
      <c r="H59" s="228"/>
      <c r="I59" s="228"/>
      <c r="J59" s="228"/>
      <c r="K59" s="228"/>
      <c r="L59" s="228"/>
      <c r="M59" s="228"/>
      <c r="N59" s="228"/>
      <c r="O59" s="231"/>
      <c r="P59" s="228"/>
      <c r="Q59" s="228"/>
      <c r="R59" s="228"/>
      <c r="S59" s="228"/>
      <c r="T59" s="228"/>
      <c r="U59" s="228"/>
      <c r="V59" s="228"/>
      <c r="W59" s="228"/>
      <c r="X59" s="228"/>
      <c r="Y59" s="228"/>
      <c r="Z59" s="229"/>
    </row>
    <row r="60" spans="1:31" ht="15" x14ac:dyDescent="0.25">
      <c r="A60" s="224"/>
      <c r="B60" s="234"/>
      <c r="C60" s="231"/>
      <c r="D60" s="231"/>
      <c r="E60" s="225"/>
      <c r="F60" s="225"/>
      <c r="G60" s="228"/>
      <c r="H60" s="228"/>
      <c r="I60" s="228"/>
      <c r="J60" s="228"/>
      <c r="K60" s="228"/>
      <c r="L60" s="228"/>
      <c r="M60" s="228"/>
      <c r="N60" s="228"/>
      <c r="O60" s="231"/>
      <c r="P60" s="228"/>
      <c r="Q60" s="228"/>
      <c r="R60" s="228"/>
      <c r="S60" s="228"/>
      <c r="T60" s="228"/>
      <c r="U60" s="228"/>
      <c r="V60" s="228"/>
      <c r="W60" s="228"/>
      <c r="X60" s="228"/>
      <c r="Y60" s="228"/>
      <c r="Z60" s="229"/>
    </row>
    <row r="61" spans="1:31" ht="15" customHeight="1" x14ac:dyDescent="0.25">
      <c r="A61" s="224"/>
      <c r="B61" s="233"/>
      <c r="C61" s="231"/>
      <c r="D61" s="231"/>
      <c r="E61" s="225"/>
      <c r="F61" s="225"/>
      <c r="G61" s="228"/>
      <c r="H61" s="228"/>
      <c r="I61" s="228"/>
      <c r="J61" s="228"/>
      <c r="K61" s="228"/>
      <c r="L61" s="228"/>
      <c r="M61" s="228"/>
      <c r="N61" s="228"/>
      <c r="O61" s="231"/>
      <c r="P61" s="228"/>
      <c r="Q61" s="228"/>
      <c r="R61" s="228"/>
      <c r="S61" s="228"/>
      <c r="T61" s="228"/>
      <c r="U61" s="228"/>
      <c r="V61" s="228"/>
      <c r="W61" s="228"/>
      <c r="X61" s="228"/>
      <c r="Y61" s="228"/>
      <c r="Z61" s="229"/>
    </row>
    <row r="62" spans="1:31" ht="15" customHeight="1" x14ac:dyDescent="0.25">
      <c r="A62" s="224"/>
      <c r="B62" s="225"/>
      <c r="C62" s="225"/>
      <c r="D62" s="225"/>
      <c r="E62" s="225"/>
      <c r="F62" s="225"/>
      <c r="G62" s="228"/>
      <c r="H62" s="228"/>
      <c r="I62" s="228"/>
      <c r="J62" s="228"/>
      <c r="K62" s="228"/>
      <c r="L62" s="228"/>
      <c r="M62" s="228"/>
      <c r="N62" s="228"/>
      <c r="O62" s="231"/>
      <c r="P62" s="228"/>
      <c r="Q62" s="228"/>
      <c r="R62" s="228"/>
      <c r="S62" s="228"/>
      <c r="T62" s="228"/>
      <c r="U62" s="228"/>
      <c r="V62" s="228"/>
      <c r="W62" s="228"/>
      <c r="X62" s="228"/>
      <c r="Y62" s="228"/>
      <c r="Z62" s="229"/>
    </row>
    <row r="63" spans="1:31" ht="15" x14ac:dyDescent="0.25">
      <c r="A63" s="224"/>
      <c r="B63" s="233"/>
      <c r="C63" s="225"/>
      <c r="D63" s="225"/>
      <c r="E63" s="225"/>
      <c r="F63" s="225"/>
      <c r="G63" s="228"/>
      <c r="H63" s="228"/>
      <c r="I63" s="228"/>
      <c r="J63" s="228"/>
      <c r="K63" s="228"/>
      <c r="L63" s="228"/>
      <c r="M63" s="228"/>
      <c r="N63" s="228"/>
      <c r="O63" s="231"/>
      <c r="P63" s="228"/>
      <c r="Q63" s="228"/>
      <c r="R63" s="228"/>
      <c r="S63" s="228"/>
      <c r="T63" s="228"/>
      <c r="U63" s="228"/>
      <c r="V63" s="228"/>
      <c r="W63" s="228"/>
      <c r="X63" s="228"/>
      <c r="Y63" s="228"/>
      <c r="Z63" s="229"/>
    </row>
    <row r="64" spans="1:31" ht="15" x14ac:dyDescent="0.25">
      <c r="A64" s="224"/>
      <c r="B64" s="233"/>
      <c r="C64" s="225"/>
      <c r="D64" s="225"/>
      <c r="E64" s="225"/>
      <c r="F64" s="225"/>
      <c r="G64" s="228"/>
      <c r="H64" s="228"/>
      <c r="I64" s="228"/>
      <c r="J64" s="228"/>
      <c r="K64" s="228"/>
      <c r="L64" s="228"/>
      <c r="M64" s="228"/>
      <c r="N64" s="228"/>
      <c r="O64" s="231"/>
      <c r="P64" s="228"/>
      <c r="Q64" s="228"/>
      <c r="R64" s="228"/>
      <c r="S64" s="228"/>
      <c r="T64" s="228"/>
      <c r="U64" s="228"/>
      <c r="V64" s="228"/>
      <c r="W64" s="228"/>
      <c r="X64" s="228"/>
      <c r="Y64" s="228"/>
      <c r="Z64" s="229"/>
    </row>
    <row r="65" spans="1:26" ht="15" x14ac:dyDescent="0.25">
      <c r="A65" s="224"/>
      <c r="B65" s="233"/>
      <c r="C65" s="225"/>
      <c r="D65" s="225"/>
      <c r="E65" s="225"/>
      <c r="F65" s="225"/>
      <c r="G65" s="228"/>
      <c r="H65" s="228"/>
      <c r="I65" s="228"/>
      <c r="J65" s="228"/>
      <c r="K65" s="228"/>
      <c r="L65" s="228"/>
      <c r="M65" s="228"/>
      <c r="N65" s="228"/>
      <c r="O65" s="231"/>
      <c r="P65" s="228"/>
      <c r="Q65" s="228"/>
      <c r="R65" s="228"/>
      <c r="S65" s="228"/>
      <c r="T65" s="228"/>
      <c r="U65" s="228"/>
      <c r="V65" s="228"/>
      <c r="W65" s="228"/>
      <c r="X65" s="228"/>
      <c r="Y65" s="228"/>
      <c r="Z65" s="229"/>
    </row>
    <row r="66" spans="1:26" ht="23.25" customHeight="1" x14ac:dyDescent="0.25">
      <c r="A66" s="205"/>
      <c r="B66" s="206"/>
      <c r="C66" s="206"/>
      <c r="D66" s="206"/>
      <c r="E66" s="206"/>
      <c r="F66" s="206"/>
      <c r="G66" s="181"/>
      <c r="H66" s="181"/>
      <c r="I66" s="181"/>
      <c r="J66" s="181"/>
      <c r="K66" s="181"/>
      <c r="L66" s="181"/>
      <c r="M66" s="181"/>
      <c r="N66" s="181"/>
      <c r="O66" s="207"/>
      <c r="P66" s="181"/>
      <c r="Q66" s="181"/>
      <c r="R66" s="181"/>
      <c r="S66" s="181"/>
      <c r="T66" s="181"/>
      <c r="U66" s="181"/>
      <c r="V66" s="181"/>
      <c r="W66" s="181"/>
      <c r="X66" s="181"/>
      <c r="Y66" s="181"/>
      <c r="Z66" s="182"/>
    </row>
    <row r="67" spans="1:26" ht="10.5" customHeight="1" x14ac:dyDescent="0.25">
      <c r="A67" s="198"/>
      <c r="B67" s="183"/>
      <c r="C67" s="183"/>
      <c r="D67" s="183"/>
      <c r="E67" s="183"/>
      <c r="F67" s="183"/>
      <c r="G67" s="183"/>
      <c r="H67" s="183"/>
      <c r="I67" s="183"/>
      <c r="J67" s="183"/>
      <c r="K67" s="183"/>
      <c r="L67" s="183"/>
      <c r="M67" s="183"/>
      <c r="N67" s="183"/>
      <c r="O67" s="184"/>
      <c r="P67" s="175"/>
      <c r="Q67" s="175"/>
      <c r="R67" s="175"/>
      <c r="S67" s="175"/>
      <c r="T67" s="175"/>
      <c r="U67" s="175"/>
      <c r="V67" s="175"/>
      <c r="W67" s="175"/>
      <c r="X67" s="175"/>
      <c r="Y67" s="175"/>
      <c r="Z67" s="176"/>
    </row>
    <row r="68" spans="1:26" ht="20.25" customHeight="1" x14ac:dyDescent="0.25">
      <c r="A68" s="152" t="str">
        <f>VLOOKUP(Vocabularies!B37,Vocabularies!$B$1:$I$358,Vocabularies!$J$2,0)</f>
        <v>Company Turnover/Investments (Last 4 Years)</v>
      </c>
      <c r="B68" s="153"/>
      <c r="C68" s="156"/>
      <c r="D68" s="208"/>
      <c r="E68" s="208"/>
      <c r="F68" s="208"/>
      <c r="G68" s="208"/>
      <c r="H68" s="208"/>
      <c r="I68" s="208"/>
      <c r="J68" s="208"/>
      <c r="K68" s="208"/>
      <c r="L68" s="208" t="str">
        <f>VLOOKUP(Vocabularies!B38,Vocabularies!$B$1:$I$358,Vocabularies!$J$2,0)</f>
        <v>Company Employees (Last 3 Years)</v>
      </c>
      <c r="M68" s="208"/>
      <c r="N68" s="208"/>
      <c r="O68" s="208"/>
      <c r="P68" s="208"/>
      <c r="Q68" s="208"/>
      <c r="R68" s="208"/>
      <c r="S68" s="208"/>
      <c r="T68" s="208"/>
      <c r="U68" s="208"/>
      <c r="V68" s="208"/>
      <c r="W68" s="208"/>
      <c r="X68" s="208"/>
      <c r="Y68" s="208"/>
      <c r="Z68" s="176"/>
    </row>
    <row r="69" spans="1:26" ht="13.2" customHeight="1" x14ac:dyDescent="0.25">
      <c r="A69" s="296" t="str">
        <f>VLOOKUP(Vocabularies!B39,Vocabularies!$B$1:$I$358,Vocabularies!$J$2,0)</f>
        <v>Year</v>
      </c>
      <c r="B69" s="297"/>
      <c r="C69" s="262" t="str">
        <f>VLOOKUP(Vocabularies!B40,Vocabularies!$B$1:$I$358,Vocabularies!$J$2,0)</f>
        <v>Sales (€)</v>
      </c>
      <c r="D69" s="262"/>
      <c r="E69" s="262"/>
      <c r="F69" s="322" t="str">
        <f>VLOOKUP(Vocabularies!B41,Vocabularies!$B$1:$I$358,Vocabularies!$J$2,0)</f>
        <v>Investments (€)</v>
      </c>
      <c r="G69" s="322"/>
      <c r="H69" s="322"/>
      <c r="I69" s="322"/>
      <c r="J69" s="322"/>
      <c r="K69" s="186"/>
      <c r="L69" s="262" t="str">
        <f>VLOOKUP(Vocabularies!B42,Vocabularies!$B$1:$I$358,Vocabularies!$J$2,0)</f>
        <v>Area</v>
      </c>
      <c r="M69" s="262"/>
      <c r="N69" s="262"/>
      <c r="O69" s="262">
        <f>W69-2</f>
        <v>1898</v>
      </c>
      <c r="P69" s="262"/>
      <c r="Q69" s="262"/>
      <c r="R69" s="262">
        <f>W69-1</f>
        <v>1899</v>
      </c>
      <c r="S69" s="262"/>
      <c r="T69" s="262"/>
      <c r="U69" s="262"/>
      <c r="V69" s="262"/>
      <c r="W69" s="262">
        <f>YEAR(W4)</f>
        <v>1900</v>
      </c>
      <c r="X69" s="262"/>
      <c r="Y69" s="262"/>
      <c r="Z69" s="176"/>
    </row>
    <row r="70" spans="1:26" ht="13.2" customHeight="1" x14ac:dyDescent="0.25">
      <c r="A70" s="296">
        <f>A73-3</f>
        <v>1897</v>
      </c>
      <c r="B70" s="297"/>
      <c r="C70" s="323"/>
      <c r="D70" s="324"/>
      <c r="E70" s="325"/>
      <c r="F70" s="323"/>
      <c r="G70" s="324"/>
      <c r="H70" s="324"/>
      <c r="I70" s="324"/>
      <c r="J70" s="325"/>
      <c r="K70" s="186"/>
      <c r="L70" s="299" t="str">
        <f>VLOOKUP(Vocabularies!B43,Vocabularies!$B$1:$I$358,Vocabularies!$J$2,0)</f>
        <v>Manufacturing</v>
      </c>
      <c r="M70" s="299"/>
      <c r="N70" s="299"/>
      <c r="O70" s="275"/>
      <c r="P70" s="276"/>
      <c r="Q70" s="277"/>
      <c r="R70" s="261"/>
      <c r="S70" s="261"/>
      <c r="T70" s="261"/>
      <c r="U70" s="261"/>
      <c r="V70" s="261"/>
      <c r="W70" s="261"/>
      <c r="X70" s="261"/>
      <c r="Y70" s="261"/>
      <c r="Z70" s="15"/>
    </row>
    <row r="71" spans="1:26" ht="13.2" customHeight="1" x14ac:dyDescent="0.25">
      <c r="A71" s="296">
        <f>A73-2</f>
        <v>1898</v>
      </c>
      <c r="B71" s="297"/>
      <c r="C71" s="323"/>
      <c r="D71" s="324"/>
      <c r="E71" s="325"/>
      <c r="F71" s="323"/>
      <c r="G71" s="324"/>
      <c r="H71" s="324"/>
      <c r="I71" s="324"/>
      <c r="J71" s="325"/>
      <c r="K71" s="186"/>
      <c r="L71" s="299" t="str">
        <f>VLOOKUP(Vocabularies!B44,Vocabularies!$B$1:$I$358,Vocabularies!$J$2,0)</f>
        <v>Purchasing</v>
      </c>
      <c r="M71" s="299"/>
      <c r="N71" s="299"/>
      <c r="O71" s="261"/>
      <c r="P71" s="261"/>
      <c r="Q71" s="261"/>
      <c r="R71" s="261"/>
      <c r="S71" s="261"/>
      <c r="T71" s="261"/>
      <c r="U71" s="261"/>
      <c r="V71" s="261"/>
      <c r="W71" s="261"/>
      <c r="X71" s="261"/>
      <c r="Y71" s="261"/>
      <c r="Z71" s="15"/>
    </row>
    <row r="72" spans="1:26" ht="13.2" customHeight="1" x14ac:dyDescent="0.25">
      <c r="A72" s="296">
        <f>A73-1</f>
        <v>1899</v>
      </c>
      <c r="B72" s="297"/>
      <c r="C72" s="323"/>
      <c r="D72" s="324"/>
      <c r="E72" s="325"/>
      <c r="F72" s="323"/>
      <c r="G72" s="324"/>
      <c r="H72" s="324"/>
      <c r="I72" s="324"/>
      <c r="J72" s="325"/>
      <c r="K72" s="186"/>
      <c r="L72" s="299" t="str">
        <f>VLOOKUP(Vocabularies!B45,Vocabularies!$B$1:$I$358,Vocabularies!$J$2,0)</f>
        <v>Quality</v>
      </c>
      <c r="M72" s="299"/>
      <c r="N72" s="299"/>
      <c r="O72" s="261"/>
      <c r="P72" s="261"/>
      <c r="Q72" s="261"/>
      <c r="R72" s="261"/>
      <c r="S72" s="261"/>
      <c r="T72" s="261"/>
      <c r="U72" s="261"/>
      <c r="V72" s="261"/>
      <c r="W72" s="261"/>
      <c r="X72" s="261"/>
      <c r="Y72" s="261"/>
      <c r="Z72" s="15"/>
    </row>
    <row r="73" spans="1:26" ht="13.2" customHeight="1" x14ac:dyDescent="0.25">
      <c r="A73" s="296">
        <f>YEAR(W4)</f>
        <v>1900</v>
      </c>
      <c r="B73" s="297"/>
      <c r="C73" s="323"/>
      <c r="D73" s="324"/>
      <c r="E73" s="325"/>
      <c r="F73" s="323"/>
      <c r="G73" s="324"/>
      <c r="H73" s="324"/>
      <c r="I73" s="324"/>
      <c r="J73" s="325"/>
      <c r="K73" s="186"/>
      <c r="L73" s="299" t="str">
        <f>VLOOKUP(Vocabularies!B46,Vocabularies!$B$1:$I$358,Vocabularies!$J$2,0)</f>
        <v>Engineering</v>
      </c>
      <c r="M73" s="299"/>
      <c r="N73" s="299"/>
      <c r="O73" s="261"/>
      <c r="P73" s="261"/>
      <c r="Q73" s="261"/>
      <c r="R73" s="261"/>
      <c r="S73" s="261"/>
      <c r="T73" s="261"/>
      <c r="U73" s="261"/>
      <c r="V73" s="261"/>
      <c r="W73" s="261"/>
      <c r="X73" s="261"/>
      <c r="Y73" s="261"/>
      <c r="Z73" s="15"/>
    </row>
    <row r="74" spans="1:26" ht="13.2" customHeight="1" x14ac:dyDescent="0.25">
      <c r="A74" s="209"/>
      <c r="B74" s="175"/>
      <c r="C74" s="186"/>
      <c r="D74" s="186"/>
      <c r="E74" s="186"/>
      <c r="F74" s="186"/>
      <c r="G74" s="186"/>
      <c r="H74" s="186"/>
      <c r="I74" s="186"/>
      <c r="J74" s="186"/>
      <c r="K74" s="186"/>
      <c r="L74" s="186"/>
      <c r="M74" s="186"/>
      <c r="N74" s="186"/>
      <c r="O74" s="186"/>
      <c r="P74" s="186"/>
      <c r="Q74" s="186"/>
      <c r="R74" s="186"/>
      <c r="S74" s="186"/>
      <c r="T74" s="186"/>
      <c r="U74" s="186"/>
      <c r="V74" s="186"/>
      <c r="W74" s="186"/>
      <c r="X74" s="186"/>
      <c r="Y74" s="186"/>
      <c r="Z74" s="176"/>
    </row>
    <row r="75" spans="1:26" ht="13.2" customHeight="1" x14ac:dyDescent="0.25">
      <c r="A75" s="209"/>
      <c r="B75" s="175"/>
      <c r="C75" s="186" t="str">
        <f>C69</f>
        <v>Sales (€)</v>
      </c>
      <c r="D75" s="186" t="str">
        <f>F69</f>
        <v>Investments (€)</v>
      </c>
      <c r="E75" s="186"/>
      <c r="F75" s="186"/>
      <c r="G75" s="186"/>
      <c r="H75" s="186"/>
      <c r="I75" s="186"/>
      <c r="J75" s="186"/>
      <c r="K75" s="186"/>
      <c r="L75" s="186"/>
      <c r="M75" s="186"/>
      <c r="N75" s="186"/>
      <c r="O75" s="186">
        <f>O69</f>
        <v>1898</v>
      </c>
      <c r="P75" s="186">
        <f>R69</f>
        <v>1899</v>
      </c>
      <c r="Q75" s="186">
        <f>W69</f>
        <v>1900</v>
      </c>
      <c r="R75" s="186"/>
      <c r="S75" s="186"/>
      <c r="T75" s="186"/>
      <c r="U75" s="186"/>
      <c r="V75" s="186"/>
      <c r="W75" s="186"/>
      <c r="X75" s="186"/>
      <c r="Y75" s="186"/>
      <c r="Z75" s="176"/>
    </row>
    <row r="76" spans="1:26" ht="13.2" customHeight="1" x14ac:dyDescent="0.25">
      <c r="A76" s="209"/>
      <c r="B76" s="175">
        <f>A70</f>
        <v>1897</v>
      </c>
      <c r="C76" s="210">
        <f>C70</f>
        <v>0</v>
      </c>
      <c r="D76" s="210">
        <f>F70</f>
        <v>0</v>
      </c>
      <c r="E76" s="186"/>
      <c r="F76" s="186"/>
      <c r="G76" s="186"/>
      <c r="H76" s="186"/>
      <c r="I76" s="186"/>
      <c r="J76" s="186"/>
      <c r="K76" s="186"/>
      <c r="L76" s="186"/>
      <c r="M76" s="211" t="str">
        <f>L70</f>
        <v>Manufacturing</v>
      </c>
      <c r="N76" s="211"/>
      <c r="O76" s="211">
        <f>O70</f>
        <v>0</v>
      </c>
      <c r="P76" s="211">
        <f>R70</f>
        <v>0</v>
      </c>
      <c r="Q76" s="211">
        <f>W70</f>
        <v>0</v>
      </c>
      <c r="R76" s="211"/>
      <c r="S76" s="211"/>
      <c r="T76" s="211"/>
      <c r="U76" s="211"/>
      <c r="V76" s="186"/>
      <c r="W76" s="186"/>
      <c r="X76" s="186"/>
      <c r="Y76" s="186"/>
      <c r="Z76" s="176"/>
    </row>
    <row r="77" spans="1:26" ht="13.2" customHeight="1" x14ac:dyDescent="0.25">
      <c r="A77" s="209"/>
      <c r="B77" s="175">
        <f>A71</f>
        <v>1898</v>
      </c>
      <c r="C77" s="210">
        <f>C71</f>
        <v>0</v>
      </c>
      <c r="D77" s="210">
        <f>F71</f>
        <v>0</v>
      </c>
      <c r="E77" s="186"/>
      <c r="F77" s="186"/>
      <c r="G77" s="186"/>
      <c r="H77" s="186"/>
      <c r="I77" s="186"/>
      <c r="J77" s="186"/>
      <c r="K77" s="186"/>
      <c r="L77" s="186"/>
      <c r="M77" s="211" t="str">
        <f>L71</f>
        <v>Purchasing</v>
      </c>
      <c r="N77" s="211"/>
      <c r="O77" s="211">
        <f>O71</f>
        <v>0</v>
      </c>
      <c r="P77" s="211">
        <f>R71</f>
        <v>0</v>
      </c>
      <c r="Q77" s="211">
        <f>W71</f>
        <v>0</v>
      </c>
      <c r="R77" s="211"/>
      <c r="S77" s="211"/>
      <c r="T77" s="211"/>
      <c r="U77" s="211"/>
      <c r="V77" s="186"/>
      <c r="W77" s="186"/>
      <c r="X77" s="186"/>
      <c r="Y77" s="186"/>
      <c r="Z77" s="176"/>
    </row>
    <row r="78" spans="1:26" ht="13.2" customHeight="1" x14ac:dyDescent="0.25">
      <c r="A78" s="209"/>
      <c r="B78" s="175">
        <f>A72</f>
        <v>1899</v>
      </c>
      <c r="C78" s="210">
        <f>C72</f>
        <v>0</v>
      </c>
      <c r="D78" s="210">
        <f>F72</f>
        <v>0</v>
      </c>
      <c r="E78" s="186"/>
      <c r="F78" s="186"/>
      <c r="G78" s="186"/>
      <c r="H78" s="186"/>
      <c r="I78" s="186"/>
      <c r="J78" s="186"/>
      <c r="K78" s="186"/>
      <c r="L78" s="186"/>
      <c r="M78" s="211" t="str">
        <f>L72</f>
        <v>Quality</v>
      </c>
      <c r="N78" s="211"/>
      <c r="O78" s="211">
        <f>O72</f>
        <v>0</v>
      </c>
      <c r="P78" s="211">
        <f>R72</f>
        <v>0</v>
      </c>
      <c r="Q78" s="211">
        <f>W72</f>
        <v>0</v>
      </c>
      <c r="R78" s="211"/>
      <c r="S78" s="211"/>
      <c r="T78" s="211"/>
      <c r="U78" s="211"/>
      <c r="V78" s="186"/>
      <c r="W78" s="186"/>
      <c r="X78" s="186"/>
      <c r="Y78" s="186"/>
      <c r="Z78" s="176"/>
    </row>
    <row r="79" spans="1:26" ht="13.2" customHeight="1" x14ac:dyDescent="0.25">
      <c r="A79" s="209"/>
      <c r="B79" s="175">
        <f>A73</f>
        <v>1900</v>
      </c>
      <c r="C79" s="210">
        <f>C73</f>
        <v>0</v>
      </c>
      <c r="D79" s="210">
        <f>F73</f>
        <v>0</v>
      </c>
      <c r="E79" s="186"/>
      <c r="F79" s="186"/>
      <c r="G79" s="186"/>
      <c r="H79" s="186"/>
      <c r="I79" s="186"/>
      <c r="J79" s="186"/>
      <c r="K79" s="186"/>
      <c r="L79" s="186"/>
      <c r="M79" s="211" t="str">
        <f>L73</f>
        <v>Engineering</v>
      </c>
      <c r="N79" s="211"/>
      <c r="O79" s="211">
        <f>O73</f>
        <v>0</v>
      </c>
      <c r="P79" s="211">
        <f>R73</f>
        <v>0</v>
      </c>
      <c r="Q79" s="211">
        <f>W73</f>
        <v>0</v>
      </c>
      <c r="R79" s="211"/>
      <c r="S79" s="211"/>
      <c r="T79" s="211"/>
      <c r="U79" s="211"/>
      <c r="V79" s="186"/>
      <c r="W79" s="186"/>
      <c r="X79" s="186"/>
      <c r="Y79" s="186"/>
      <c r="Z79" s="176"/>
    </row>
    <row r="80" spans="1:26" ht="13.2" customHeight="1" x14ac:dyDescent="0.25">
      <c r="A80" s="209"/>
      <c r="B80" s="175"/>
      <c r="C80" s="186"/>
      <c r="D80" s="186"/>
      <c r="E80" s="186"/>
      <c r="F80" s="186"/>
      <c r="G80" s="186"/>
      <c r="H80" s="186"/>
      <c r="I80" s="186"/>
      <c r="J80" s="186"/>
      <c r="K80" s="186"/>
      <c r="L80" s="186"/>
      <c r="M80" s="186"/>
      <c r="N80" s="186"/>
      <c r="O80" s="186"/>
      <c r="P80" s="186"/>
      <c r="Q80" s="186"/>
      <c r="R80" s="186"/>
      <c r="S80" s="186"/>
      <c r="T80" s="186"/>
      <c r="U80" s="186"/>
      <c r="V80" s="186"/>
      <c r="W80" s="186"/>
      <c r="X80" s="186"/>
      <c r="Y80" s="186"/>
      <c r="Z80" s="176"/>
    </row>
    <row r="81" spans="1:26" ht="13.2" customHeight="1" x14ac:dyDescent="0.25">
      <c r="A81" s="209"/>
      <c r="B81" s="175"/>
      <c r="C81" s="186"/>
      <c r="D81" s="186"/>
      <c r="E81" s="186"/>
      <c r="F81" s="186"/>
      <c r="G81" s="186"/>
      <c r="H81" s="186"/>
      <c r="I81" s="186"/>
      <c r="J81" s="186"/>
      <c r="K81" s="186"/>
      <c r="L81" s="186"/>
      <c r="M81" s="186"/>
      <c r="N81" s="186"/>
      <c r="O81" s="186"/>
      <c r="P81" s="186"/>
      <c r="Q81" s="186"/>
      <c r="R81" s="186"/>
      <c r="S81" s="186"/>
      <c r="T81" s="186"/>
      <c r="U81" s="186"/>
      <c r="V81" s="186"/>
      <c r="W81" s="186"/>
      <c r="X81" s="186"/>
      <c r="Y81" s="186"/>
      <c r="Z81" s="176"/>
    </row>
    <row r="82" spans="1:26" ht="13.2" customHeight="1" x14ac:dyDescent="0.25">
      <c r="A82" s="209"/>
      <c r="B82" s="175"/>
      <c r="C82" s="186"/>
      <c r="D82" s="186"/>
      <c r="E82" s="186"/>
      <c r="F82" s="186"/>
      <c r="G82" s="186"/>
      <c r="H82" s="186"/>
      <c r="I82" s="186"/>
      <c r="J82" s="186"/>
      <c r="K82" s="186"/>
      <c r="L82" s="186"/>
      <c r="M82" s="186"/>
      <c r="N82" s="186"/>
      <c r="O82" s="186"/>
      <c r="P82" s="186"/>
      <c r="Q82" s="186"/>
      <c r="R82" s="186"/>
      <c r="S82" s="186"/>
      <c r="T82" s="186"/>
      <c r="U82" s="186"/>
      <c r="V82" s="186"/>
      <c r="W82" s="186"/>
      <c r="X82" s="186"/>
      <c r="Y82" s="186"/>
      <c r="Z82" s="176"/>
    </row>
    <row r="83" spans="1:26" ht="13.2" customHeight="1" x14ac:dyDescent="0.25">
      <c r="A83" s="209"/>
      <c r="B83" s="175"/>
      <c r="C83" s="186"/>
      <c r="D83" s="186"/>
      <c r="E83" s="186"/>
      <c r="F83" s="186"/>
      <c r="G83" s="186"/>
      <c r="H83" s="186"/>
      <c r="I83" s="186"/>
      <c r="J83" s="186"/>
      <c r="K83" s="186"/>
      <c r="L83" s="186"/>
      <c r="M83" s="186"/>
      <c r="N83" s="186"/>
      <c r="O83" s="186"/>
      <c r="P83" s="186"/>
      <c r="Q83" s="186"/>
      <c r="R83" s="186"/>
      <c r="S83" s="186"/>
      <c r="T83" s="186"/>
      <c r="U83" s="186"/>
      <c r="V83" s="186"/>
      <c r="W83" s="186"/>
      <c r="X83" s="186"/>
      <c r="Y83" s="186"/>
      <c r="Z83" s="176"/>
    </row>
    <row r="84" spans="1:26" ht="38.25" customHeight="1" x14ac:dyDescent="0.25">
      <c r="A84" s="209"/>
      <c r="B84" s="175"/>
      <c r="C84" s="186"/>
      <c r="D84" s="186"/>
      <c r="E84" s="186"/>
      <c r="F84" s="186"/>
      <c r="G84" s="186"/>
      <c r="H84" s="186"/>
      <c r="I84" s="186"/>
      <c r="J84" s="186"/>
      <c r="K84" s="186"/>
      <c r="L84" s="186"/>
      <c r="M84" s="186"/>
      <c r="N84" s="186"/>
      <c r="O84" s="186"/>
      <c r="P84" s="186"/>
      <c r="Q84" s="186"/>
      <c r="R84" s="186"/>
      <c r="S84" s="186"/>
      <c r="T84" s="186"/>
      <c r="U84" s="186"/>
      <c r="V84" s="186"/>
      <c r="W84" s="186"/>
      <c r="X84" s="186"/>
      <c r="Y84" s="186"/>
      <c r="Z84" s="176"/>
    </row>
    <row r="85" spans="1:26" ht="13.2" customHeight="1" x14ac:dyDescent="0.25">
      <c r="A85" s="209" t="str">
        <f>VLOOKUP(Vocabularies!B47,Vocabularies!$B$1:$I$358,Vocabularies!$J$2,0)</f>
        <v>Industries Served</v>
      </c>
      <c r="B85" s="175"/>
      <c r="C85" s="186"/>
      <c r="D85" s="186"/>
      <c r="E85" s="186"/>
      <c r="F85" s="186"/>
      <c r="G85" s="186"/>
      <c r="H85" s="186"/>
      <c r="I85" s="186"/>
      <c r="J85" s="186"/>
      <c r="K85" s="186"/>
      <c r="L85" s="212" t="str">
        <f>VLOOKUP(Vocabularies!B48,Vocabularies!$B$1:$I$358,Vocabularies!$J$2,0)</f>
        <v>Major Customers</v>
      </c>
      <c r="M85" s="186"/>
      <c r="N85" s="186"/>
      <c r="O85" s="186"/>
      <c r="P85" s="186"/>
      <c r="Q85" s="186"/>
      <c r="R85" s="186"/>
      <c r="S85" s="186"/>
      <c r="T85" s="186"/>
      <c r="U85" s="186"/>
      <c r="V85" s="186"/>
      <c r="W85" s="186"/>
      <c r="X85" s="186"/>
      <c r="Y85" s="186"/>
      <c r="Z85" s="176"/>
    </row>
    <row r="86" spans="1:26" ht="13.2" customHeight="1" x14ac:dyDescent="0.25">
      <c r="A86" s="294" t="str">
        <f>VLOOKUP(Vocabularies!B49,Vocabularies!$B$1:$I$358,Vocabularies!$J$2,0)</f>
        <v>Rail:</v>
      </c>
      <c r="B86" s="295"/>
      <c r="C86" s="295"/>
      <c r="D86" s="275"/>
      <c r="E86" s="277"/>
      <c r="F86" s="278" t="str">
        <f>VLOOKUP(Vocabularies!B54,Vocabularies!$B$1:$I$358,Vocabularies!$J$2,0)</f>
        <v>% of Sales</v>
      </c>
      <c r="G86" s="279"/>
      <c r="H86" s="279"/>
      <c r="I86" s="279"/>
      <c r="J86" s="280"/>
      <c r="K86" s="186"/>
      <c r="L86" s="258"/>
      <c r="M86" s="259"/>
      <c r="N86" s="259"/>
      <c r="O86" s="259"/>
      <c r="P86" s="259"/>
      <c r="Q86" s="259"/>
      <c r="R86" s="259"/>
      <c r="S86" s="260"/>
      <c r="T86" s="261"/>
      <c r="U86" s="261"/>
      <c r="V86" s="261"/>
      <c r="W86" s="262" t="str">
        <f>VLOOKUP(Vocabularies!B54,Vocabularies!$B$1:$I$358,Vocabularies!$J$2,0)</f>
        <v>% of Sales</v>
      </c>
      <c r="X86" s="262"/>
      <c r="Y86" s="262"/>
      <c r="Z86" s="176"/>
    </row>
    <row r="87" spans="1:26" ht="13.2" customHeight="1" x14ac:dyDescent="0.25">
      <c r="A87" s="294" t="str">
        <f>VLOOKUP(Vocabularies!B50,Vocabularies!$B$1:$I$358,Vocabularies!$J$2,0)</f>
        <v>Aerospace:</v>
      </c>
      <c r="B87" s="295"/>
      <c r="C87" s="295"/>
      <c r="D87" s="275"/>
      <c r="E87" s="277"/>
      <c r="F87" s="278" t="str">
        <f>VLOOKUP(Vocabularies!B54,Vocabularies!$B$1:$I$358,Vocabularies!$J$2,0)</f>
        <v>% of Sales</v>
      </c>
      <c r="G87" s="279"/>
      <c r="H87" s="279"/>
      <c r="I87" s="279"/>
      <c r="J87" s="280"/>
      <c r="K87" s="186"/>
      <c r="L87" s="258"/>
      <c r="M87" s="259"/>
      <c r="N87" s="259"/>
      <c r="O87" s="259"/>
      <c r="P87" s="259"/>
      <c r="Q87" s="259"/>
      <c r="R87" s="259"/>
      <c r="S87" s="260"/>
      <c r="T87" s="261"/>
      <c r="U87" s="261"/>
      <c r="V87" s="261"/>
      <c r="W87" s="262" t="str">
        <f>VLOOKUP(Vocabularies!B54,Vocabularies!$B$1:$I$358,Vocabularies!$J$2,0)</f>
        <v>% of Sales</v>
      </c>
      <c r="X87" s="262"/>
      <c r="Y87" s="262"/>
      <c r="Z87" s="176"/>
    </row>
    <row r="88" spans="1:26" ht="13.2" customHeight="1" x14ac:dyDescent="0.25">
      <c r="A88" s="294" t="str">
        <f>VLOOKUP(Vocabularies!B51,Vocabularies!$B$1:$I$358,Vocabularies!$J$2,0)</f>
        <v>Trucking:</v>
      </c>
      <c r="B88" s="295"/>
      <c r="C88" s="295"/>
      <c r="D88" s="276"/>
      <c r="E88" s="277"/>
      <c r="F88" s="278" t="str">
        <f>VLOOKUP(Vocabularies!B54,Vocabularies!$B$1:$I$358,Vocabularies!$J$2,0)</f>
        <v>% of Sales</v>
      </c>
      <c r="G88" s="279"/>
      <c r="H88" s="279"/>
      <c r="I88" s="279"/>
      <c r="J88" s="280"/>
      <c r="K88" s="186"/>
      <c r="L88" s="258"/>
      <c r="M88" s="259"/>
      <c r="N88" s="259"/>
      <c r="O88" s="259"/>
      <c r="P88" s="259"/>
      <c r="Q88" s="259"/>
      <c r="R88" s="259"/>
      <c r="S88" s="260"/>
      <c r="T88" s="261"/>
      <c r="U88" s="261"/>
      <c r="V88" s="261"/>
      <c r="W88" s="262" t="str">
        <f>VLOOKUP(Vocabularies!B54,Vocabularies!$B$1:$I$358,Vocabularies!$J$2,0)</f>
        <v>% of Sales</v>
      </c>
      <c r="X88" s="262"/>
      <c r="Y88" s="262"/>
      <c r="Z88" s="176"/>
    </row>
    <row r="89" spans="1:26" ht="13.2" customHeight="1" x14ac:dyDescent="0.25">
      <c r="A89" s="294" t="str">
        <f>VLOOKUP(Vocabularies!B52,Vocabularies!$B$1:$I$358,Vocabularies!$J$2,0)</f>
        <v>Automotive:</v>
      </c>
      <c r="B89" s="295"/>
      <c r="C89" s="295"/>
      <c r="D89" s="277"/>
      <c r="E89" s="261"/>
      <c r="F89" s="278" t="str">
        <f>VLOOKUP(Vocabularies!B54,Vocabularies!$B$1:$I$358,Vocabularies!$J$2,0)</f>
        <v>% of Sales</v>
      </c>
      <c r="G89" s="279"/>
      <c r="H89" s="279"/>
      <c r="I89" s="279"/>
      <c r="J89" s="280"/>
      <c r="K89" s="186"/>
      <c r="L89" s="258"/>
      <c r="M89" s="259"/>
      <c r="N89" s="259"/>
      <c r="O89" s="259"/>
      <c r="P89" s="259"/>
      <c r="Q89" s="259"/>
      <c r="R89" s="259"/>
      <c r="S89" s="260"/>
      <c r="T89" s="261"/>
      <c r="U89" s="261"/>
      <c r="V89" s="261"/>
      <c r="W89" s="262" t="str">
        <f>VLOOKUP(Vocabularies!B54,Vocabularies!$B$1:$I$358,Vocabularies!$J$2,0)</f>
        <v>% of Sales</v>
      </c>
      <c r="X89" s="262"/>
      <c r="Y89" s="262"/>
      <c r="Z89" s="176"/>
    </row>
    <row r="90" spans="1:26" ht="13.2" customHeight="1" x14ac:dyDescent="0.25">
      <c r="A90" s="294" t="str">
        <f>VLOOKUP(Vocabularies!B53,Vocabularies!$B$1:$I$358,Vocabularies!$J$2,0)</f>
        <v>Medicine:</v>
      </c>
      <c r="B90" s="295"/>
      <c r="C90" s="295"/>
      <c r="D90" s="277"/>
      <c r="E90" s="261"/>
      <c r="F90" s="278" t="str">
        <f>VLOOKUP(Vocabularies!B54,Vocabularies!$B$1:$I$358,Vocabularies!$J$2,0)</f>
        <v>% of Sales</v>
      </c>
      <c r="G90" s="279"/>
      <c r="H90" s="279"/>
      <c r="I90" s="279"/>
      <c r="J90" s="280"/>
      <c r="K90" s="186"/>
      <c r="L90" s="258"/>
      <c r="M90" s="259"/>
      <c r="N90" s="259"/>
      <c r="O90" s="259"/>
      <c r="P90" s="259"/>
      <c r="Q90" s="259"/>
      <c r="R90" s="259"/>
      <c r="S90" s="260"/>
      <c r="T90" s="261"/>
      <c r="U90" s="261"/>
      <c r="V90" s="261"/>
      <c r="W90" s="262" t="str">
        <f>VLOOKUP(Vocabularies!B54,Vocabularies!$B$1:$I$358,Vocabularies!$J$2,0)</f>
        <v>% of Sales</v>
      </c>
      <c r="X90" s="262"/>
      <c r="Y90" s="262"/>
      <c r="Z90" s="176"/>
    </row>
    <row r="91" spans="1:26" ht="51.75" customHeight="1" x14ac:dyDescent="0.25">
      <c r="A91" s="209"/>
      <c r="B91" s="175"/>
      <c r="C91" s="186"/>
      <c r="D91" s="186"/>
      <c r="E91" s="186"/>
      <c r="F91" s="186"/>
      <c r="G91" s="186"/>
      <c r="H91" s="186"/>
      <c r="I91" s="186"/>
      <c r="J91" s="186"/>
      <c r="K91" s="186"/>
      <c r="L91" s="186"/>
      <c r="M91" s="186"/>
      <c r="N91" s="186"/>
      <c r="O91" s="186"/>
      <c r="P91" s="186"/>
      <c r="Q91" s="186"/>
      <c r="R91" s="186"/>
      <c r="S91" s="186"/>
      <c r="T91" s="186"/>
      <c r="U91" s="186"/>
      <c r="V91" s="186"/>
      <c r="W91" s="186"/>
      <c r="X91" s="186"/>
      <c r="Y91" s="186"/>
      <c r="Z91" s="176"/>
    </row>
    <row r="92" spans="1:26" ht="13.2" customHeight="1" x14ac:dyDescent="0.25">
      <c r="A92" s="209" t="str">
        <f>VLOOKUP(Vocabularies!B57,Vocabularies!$B$1:$I$358,Vocabularies!$J$2,0)</f>
        <v>Risk Assurance</v>
      </c>
      <c r="B92" s="175"/>
      <c r="C92" s="186"/>
      <c r="D92" s="186"/>
      <c r="E92" s="186"/>
      <c r="F92" s="186"/>
      <c r="G92" s="186"/>
      <c r="H92" s="186"/>
      <c r="I92" s="186"/>
      <c r="J92" s="186"/>
      <c r="K92" s="186"/>
      <c r="L92" s="186"/>
      <c r="M92" s="186"/>
      <c r="N92" s="186"/>
      <c r="O92" s="186"/>
      <c r="P92" s="186"/>
      <c r="Q92" s="186"/>
      <c r="R92" s="186"/>
      <c r="S92" s="186"/>
      <c r="T92" s="186"/>
      <c r="U92" s="186"/>
      <c r="V92" s="186"/>
      <c r="W92" s="186"/>
      <c r="X92" s="186"/>
      <c r="Y92" s="186"/>
      <c r="Z92" s="176"/>
    </row>
    <row r="93" spans="1:26" ht="13.2" customHeight="1" x14ac:dyDescent="0.25">
      <c r="A93" s="263"/>
      <c r="B93" s="264"/>
      <c r="C93" s="264"/>
      <c r="D93" s="264"/>
      <c r="E93" s="264"/>
      <c r="F93" s="265"/>
      <c r="G93" s="278" t="str">
        <f>VLOOKUP(Vocabularies!B58,Vocabularies!$B$1:$I$358,Vocabularies!$J$2,0)</f>
        <v>Current</v>
      </c>
      <c r="H93" s="279"/>
      <c r="I93" s="280"/>
      <c r="J93" s="278" t="str">
        <f>VLOOKUP(Vocabularies!B59,Vocabularies!$B$1:$I$358,Vocabularies!$J$2,0)</f>
        <v>If no, planned at?</v>
      </c>
      <c r="K93" s="279"/>
      <c r="L93" s="279"/>
      <c r="M93" s="279"/>
      <c r="N93" s="279"/>
      <c r="O93" s="280"/>
      <c r="P93" s="279" t="str">
        <f>VLOOKUP(Vocabularies!B60,Vocabularies!$B$1:$I$358,Vocabularies!$J$2,0)</f>
        <v>Amount of Coverage</v>
      </c>
      <c r="Q93" s="279"/>
      <c r="R93" s="279"/>
      <c r="S93" s="279"/>
      <c r="T93" s="279"/>
      <c r="U93" s="279"/>
      <c r="V93" s="279"/>
      <c r="W93" s="279"/>
      <c r="X93" s="279"/>
      <c r="Y93" s="280"/>
      <c r="Z93" s="176"/>
    </row>
    <row r="94" spans="1:26" ht="13.2" customHeight="1" x14ac:dyDescent="0.25">
      <c r="A94" s="266" t="str">
        <f>VLOOKUP(Vocabularies!B63,Vocabularies!$B$1:$I$358,Vocabularies!$J$2,0)</f>
        <v>Product Risk Insurance</v>
      </c>
      <c r="B94" s="267"/>
      <c r="C94" s="267"/>
      <c r="D94" s="267"/>
      <c r="E94" s="267"/>
      <c r="F94" s="268"/>
      <c r="G94" s="289"/>
      <c r="H94" s="290"/>
      <c r="I94" s="291"/>
      <c r="J94" s="275"/>
      <c r="K94" s="276"/>
      <c r="L94" s="276"/>
      <c r="M94" s="276"/>
      <c r="N94" s="276"/>
      <c r="O94" s="277"/>
      <c r="P94" s="276"/>
      <c r="Q94" s="276"/>
      <c r="R94" s="276"/>
      <c r="S94" s="276"/>
      <c r="T94" s="276"/>
      <c r="U94" s="276"/>
      <c r="V94" s="276"/>
      <c r="W94" s="276"/>
      <c r="X94" s="276"/>
      <c r="Y94" s="277"/>
      <c r="Z94" s="176"/>
    </row>
    <row r="95" spans="1:26" ht="13.2" customHeight="1" x14ac:dyDescent="0.25">
      <c r="A95" s="269" t="str">
        <f>VLOOKUP(Vocabularies!B64,Vocabularies!$B$1:$I$358,Vocabularies!$J$2,0)</f>
        <v>Recall Risk Insurance</v>
      </c>
      <c r="B95" s="270"/>
      <c r="C95" s="270"/>
      <c r="D95" s="270"/>
      <c r="E95" s="270"/>
      <c r="F95" s="271"/>
      <c r="G95" s="289"/>
      <c r="H95" s="290"/>
      <c r="I95" s="291"/>
      <c r="J95" s="275"/>
      <c r="K95" s="276"/>
      <c r="L95" s="276"/>
      <c r="M95" s="276"/>
      <c r="N95" s="276"/>
      <c r="O95" s="277"/>
      <c r="P95" s="287"/>
      <c r="Q95" s="287"/>
      <c r="R95" s="287"/>
      <c r="S95" s="287"/>
      <c r="T95" s="287"/>
      <c r="U95" s="287"/>
      <c r="V95" s="287"/>
      <c r="W95" s="287"/>
      <c r="X95" s="287"/>
      <c r="Y95" s="288"/>
      <c r="Z95" s="176"/>
    </row>
    <row r="96" spans="1:26" ht="25.5" customHeight="1" x14ac:dyDescent="0.25">
      <c r="A96" s="209"/>
      <c r="B96" s="175"/>
      <c r="C96" s="186"/>
      <c r="D96" s="186"/>
      <c r="E96" s="186"/>
      <c r="F96" s="186"/>
      <c r="G96" s="186"/>
      <c r="H96" s="186"/>
      <c r="I96" s="186"/>
      <c r="J96" s="186"/>
      <c r="K96" s="186"/>
      <c r="L96" s="186"/>
      <c r="M96" s="186"/>
      <c r="N96" s="186"/>
      <c r="O96" s="186"/>
      <c r="P96" s="186"/>
      <c r="Q96" s="186"/>
      <c r="R96" s="186"/>
      <c r="S96" s="186"/>
      <c r="T96" s="186"/>
      <c r="U96" s="186"/>
      <c r="V96" s="186"/>
      <c r="W96" s="186"/>
      <c r="X96" s="186"/>
      <c r="Y96" s="186"/>
      <c r="Z96" s="176"/>
    </row>
    <row r="97" spans="1:26" ht="18" customHeight="1" x14ac:dyDescent="0.25">
      <c r="A97" s="213" t="str">
        <f>VLOOKUP(Vocabularies!B65,Vocabularies!$B$1:$G$358,Vocabularies!$J$2,0)</f>
        <v>Section B, Financials</v>
      </c>
      <c r="B97" s="175"/>
      <c r="C97" s="186"/>
      <c r="D97" s="186"/>
      <c r="E97" s="186"/>
      <c r="F97" s="186"/>
      <c r="G97" s="186"/>
      <c r="H97" s="186"/>
      <c r="I97" s="186"/>
      <c r="J97" s="186"/>
      <c r="K97" s="186"/>
      <c r="L97" s="186"/>
      <c r="M97" s="186"/>
      <c r="N97" s="186"/>
      <c r="O97" s="186"/>
      <c r="P97" s="186"/>
      <c r="Q97" s="186"/>
      <c r="R97" s="186"/>
      <c r="S97" s="186"/>
      <c r="T97" s="186"/>
      <c r="U97" s="186"/>
      <c r="V97" s="186"/>
      <c r="W97" s="186"/>
      <c r="X97" s="186"/>
      <c r="Y97" s="186"/>
      <c r="Z97" s="176"/>
    </row>
    <row r="98" spans="1:26" ht="15" customHeight="1" x14ac:dyDescent="0.25">
      <c r="A98" s="209"/>
      <c r="B98" s="175"/>
      <c r="C98" s="186"/>
      <c r="D98" s="186"/>
      <c r="E98" s="186"/>
      <c r="F98" s="186"/>
      <c r="G98" s="186"/>
      <c r="H98" s="186"/>
      <c r="I98" s="186"/>
      <c r="J98" s="186"/>
      <c r="K98" s="186"/>
      <c r="L98" s="186"/>
      <c r="M98" s="186"/>
      <c r="N98" s="186"/>
      <c r="O98" s="186"/>
      <c r="P98" s="186"/>
      <c r="Q98" s="186"/>
      <c r="R98" s="186"/>
      <c r="S98" s="186"/>
      <c r="T98" s="186"/>
      <c r="U98" s="186"/>
      <c r="V98" s="186"/>
      <c r="W98" s="186"/>
      <c r="X98" s="186"/>
      <c r="Y98" s="186"/>
      <c r="Z98" s="176"/>
    </row>
    <row r="99" spans="1:26" ht="15" customHeight="1" x14ac:dyDescent="0.25">
      <c r="A99" s="209" t="str">
        <f>VLOOKUP(Vocabularies!B66,Vocabularies!$B$1:$G$358,Vocabularies!$J$2,0)</f>
        <v>Bank Account(s) - Wire Transfer Mandatory</v>
      </c>
      <c r="B99" s="175"/>
      <c r="C99" s="186"/>
      <c r="D99" s="186"/>
      <c r="E99" s="186"/>
      <c r="F99" s="186"/>
      <c r="G99" s="186"/>
      <c r="H99" s="186"/>
      <c r="I99" s="186"/>
      <c r="J99" s="186"/>
      <c r="K99" s="186"/>
      <c r="L99" s="186"/>
      <c r="M99" s="186"/>
      <c r="N99" s="186"/>
      <c r="O99" s="186"/>
      <c r="P99" s="186"/>
      <c r="Q99" s="186"/>
      <c r="R99" s="186"/>
      <c r="S99" s="186"/>
      <c r="T99" s="186"/>
      <c r="U99" s="186"/>
      <c r="V99" s="186"/>
      <c r="W99" s="186"/>
      <c r="X99" s="186"/>
      <c r="Y99" s="186"/>
      <c r="Z99" s="176"/>
    </row>
    <row r="100" spans="1:26" ht="17.25" customHeight="1" x14ac:dyDescent="0.25">
      <c r="A100" s="296" t="str">
        <f>VLOOKUP(Vocabularies!B67,Vocabularies!$B$1:$G$358,Vocabularies!$J$2,0)</f>
        <v>Bank Name and Adress</v>
      </c>
      <c r="B100" s="297"/>
      <c r="C100" s="297"/>
      <c r="D100" s="297"/>
      <c r="E100" s="297"/>
      <c r="F100" s="297"/>
      <c r="G100" s="298" t="str">
        <f>VLOOKUP(Vocabularies!B68,Vocabularies!$B$1:$G$358,Vocabularies!$J$2,0)</f>
        <v>Account No.</v>
      </c>
      <c r="H100" s="298"/>
      <c r="I100" s="298"/>
      <c r="J100" s="298"/>
      <c r="K100" s="298"/>
      <c r="L100" s="262" t="str">
        <f>VLOOKUP(Vocabularies!B69,Vocabularies!$B$1:$G$358,Vocabularies!$J$2,0)</f>
        <v>Routing No.</v>
      </c>
      <c r="M100" s="262"/>
      <c r="N100" s="262"/>
      <c r="O100" s="262"/>
      <c r="P100" s="262" t="str">
        <f>VLOOKUP(Vocabularies!B70,Vocabularies!$B$1:$G$358,Vocabularies!$J$2,0)</f>
        <v>Swift Code</v>
      </c>
      <c r="Q100" s="262"/>
      <c r="R100" s="262"/>
      <c r="S100" s="262"/>
      <c r="T100" s="262"/>
      <c r="U100" s="262" t="str">
        <f>VLOOKUP(Vocabularies!B71,Vocabularies!$B$1:$G$358,Vocabularies!$J$2,0)</f>
        <v>IBAN Number</v>
      </c>
      <c r="V100" s="262"/>
      <c r="W100" s="262"/>
      <c r="X100" s="262"/>
      <c r="Y100" s="262"/>
      <c r="Z100" s="176"/>
    </row>
    <row r="101" spans="1:26" ht="13.2" customHeight="1" x14ac:dyDescent="0.25">
      <c r="A101" s="292"/>
      <c r="B101" s="293"/>
      <c r="C101" s="293"/>
      <c r="D101" s="293"/>
      <c r="E101" s="293"/>
      <c r="F101" s="293"/>
      <c r="G101" s="261"/>
      <c r="H101" s="261"/>
      <c r="I101" s="261"/>
      <c r="J101" s="261"/>
      <c r="K101" s="261"/>
      <c r="L101" s="261"/>
      <c r="M101" s="261"/>
      <c r="N101" s="261"/>
      <c r="O101" s="261"/>
      <c r="P101" s="261"/>
      <c r="Q101" s="261"/>
      <c r="R101" s="261"/>
      <c r="S101" s="261"/>
      <c r="T101" s="261"/>
      <c r="U101" s="261"/>
      <c r="V101" s="261"/>
      <c r="W101" s="261"/>
      <c r="X101" s="261"/>
      <c r="Y101" s="261"/>
      <c r="Z101" s="15"/>
    </row>
    <row r="102" spans="1:26" ht="13.2" customHeight="1" x14ac:dyDescent="0.25">
      <c r="A102" s="292"/>
      <c r="B102" s="293"/>
      <c r="C102" s="293"/>
      <c r="D102" s="293"/>
      <c r="E102" s="293"/>
      <c r="F102" s="293"/>
      <c r="G102" s="261"/>
      <c r="H102" s="261"/>
      <c r="I102" s="261"/>
      <c r="J102" s="261"/>
      <c r="K102" s="261"/>
      <c r="L102" s="261"/>
      <c r="M102" s="261"/>
      <c r="N102" s="261"/>
      <c r="O102" s="261"/>
      <c r="P102" s="261"/>
      <c r="Q102" s="261"/>
      <c r="R102" s="261"/>
      <c r="S102" s="261"/>
      <c r="T102" s="261"/>
      <c r="U102" s="261"/>
      <c r="V102" s="261"/>
      <c r="W102" s="261"/>
      <c r="X102" s="261"/>
      <c r="Y102" s="261"/>
      <c r="Z102" s="15"/>
    </row>
    <row r="103" spans="1:26" ht="13.2" customHeight="1" x14ac:dyDescent="0.25">
      <c r="A103" s="292"/>
      <c r="B103" s="293"/>
      <c r="C103" s="293"/>
      <c r="D103" s="293"/>
      <c r="E103" s="293"/>
      <c r="F103" s="293"/>
      <c r="G103" s="261"/>
      <c r="H103" s="261"/>
      <c r="I103" s="261"/>
      <c r="J103" s="261"/>
      <c r="K103" s="261"/>
      <c r="L103" s="261"/>
      <c r="M103" s="261"/>
      <c r="N103" s="261"/>
      <c r="O103" s="261"/>
      <c r="P103" s="261"/>
      <c r="Q103" s="261"/>
      <c r="R103" s="261"/>
      <c r="S103" s="261"/>
      <c r="T103" s="261"/>
      <c r="U103" s="261"/>
      <c r="V103" s="261"/>
      <c r="W103" s="261"/>
      <c r="X103" s="261"/>
      <c r="Y103" s="261"/>
      <c r="Z103" s="15"/>
    </row>
    <row r="104" spans="1:26" ht="25.5" customHeight="1" x14ac:dyDescent="0.25">
      <c r="A104" s="209"/>
      <c r="B104" s="175"/>
      <c r="C104" s="186"/>
      <c r="D104" s="186"/>
      <c r="E104" s="186"/>
      <c r="F104" s="186"/>
      <c r="G104" s="186"/>
      <c r="H104" s="186"/>
      <c r="I104" s="186"/>
      <c r="J104" s="186"/>
      <c r="K104" s="186"/>
      <c r="L104" s="186"/>
      <c r="M104" s="186"/>
      <c r="N104" s="186"/>
      <c r="O104" s="186"/>
      <c r="P104" s="186"/>
      <c r="Q104" s="186"/>
      <c r="R104" s="186"/>
      <c r="S104" s="186"/>
      <c r="T104" s="186"/>
      <c r="U104" s="186"/>
      <c r="V104" s="186"/>
      <c r="W104" s="186"/>
      <c r="X104" s="186"/>
      <c r="Y104" s="186"/>
      <c r="Z104" s="176"/>
    </row>
    <row r="105" spans="1:26" ht="13.2" customHeight="1" x14ac:dyDescent="0.25">
      <c r="A105" s="209" t="str">
        <f>VLOOKUP(Vocabularies!B72,Vocabularies!$B$1:$G$358,Vocabularies!$J$2,0)</f>
        <v>Credit References</v>
      </c>
      <c r="B105" s="175"/>
      <c r="C105" s="186"/>
      <c r="D105" s="186"/>
      <c r="E105" s="186"/>
      <c r="F105" s="186"/>
      <c r="G105" s="186"/>
      <c r="H105" s="186"/>
      <c r="I105" s="186"/>
      <c r="J105" s="186"/>
      <c r="K105" s="186"/>
      <c r="L105" s="186"/>
      <c r="M105" s="186"/>
      <c r="N105" s="186"/>
      <c r="O105" s="186"/>
      <c r="P105" s="186"/>
      <c r="Q105" s="186"/>
      <c r="R105" s="186"/>
      <c r="S105" s="186"/>
      <c r="T105" s="186"/>
      <c r="U105" s="186"/>
      <c r="V105" s="186"/>
      <c r="W105" s="186"/>
      <c r="X105" s="186"/>
      <c r="Y105" s="186"/>
      <c r="Z105" s="176"/>
    </row>
    <row r="106" spans="1:26" ht="13.2" customHeight="1" x14ac:dyDescent="0.25">
      <c r="A106" s="266" t="str">
        <f>VLOOKUP(Vocabularies!B73,Vocabularies!$B$1:$G$358,Vocabularies!$J$2,0)</f>
        <v>Reference Name</v>
      </c>
      <c r="B106" s="267"/>
      <c r="C106" s="267"/>
      <c r="D106" s="267"/>
      <c r="E106" s="267"/>
      <c r="F106" s="267"/>
      <c r="G106" s="268"/>
      <c r="H106" s="284" t="str">
        <f>VLOOKUP(Vocabularies!B74,Vocabularies!$B$1:$G$358,Vocabularies!$J$2,0)</f>
        <v>Type (Bank/Supplier)</v>
      </c>
      <c r="I106" s="285"/>
      <c r="J106" s="285"/>
      <c r="K106" s="285"/>
      <c r="L106" s="285"/>
      <c r="M106" s="286"/>
      <c r="N106" s="278" t="str">
        <f>VLOOKUP(Vocabularies!B75,Vocabularies!$B$1:$G$358,Vocabularies!$J$2,0)</f>
        <v>Contact Name</v>
      </c>
      <c r="O106" s="279"/>
      <c r="P106" s="279"/>
      <c r="Q106" s="279"/>
      <c r="R106" s="279"/>
      <c r="S106" s="279"/>
      <c r="T106" s="280"/>
      <c r="U106" s="262" t="str">
        <f>VLOOKUP(Vocabularies!B76,Vocabularies!$B$1:$G$358,Vocabularies!$J$2,0)</f>
        <v>Contact Phone No.</v>
      </c>
      <c r="V106" s="262"/>
      <c r="W106" s="262"/>
      <c r="X106" s="262"/>
      <c r="Y106" s="262"/>
      <c r="Z106" s="176"/>
    </row>
    <row r="107" spans="1:26" ht="13.2" customHeight="1" x14ac:dyDescent="0.25">
      <c r="A107" s="272"/>
      <c r="B107" s="273"/>
      <c r="C107" s="273"/>
      <c r="D107" s="273"/>
      <c r="E107" s="273"/>
      <c r="F107" s="273"/>
      <c r="G107" s="274"/>
      <c r="H107" s="258"/>
      <c r="I107" s="259"/>
      <c r="J107" s="259"/>
      <c r="K107" s="259"/>
      <c r="L107" s="259"/>
      <c r="M107" s="260"/>
      <c r="N107" s="275"/>
      <c r="O107" s="276"/>
      <c r="P107" s="276"/>
      <c r="Q107" s="276"/>
      <c r="R107" s="276"/>
      <c r="S107" s="276"/>
      <c r="T107" s="277"/>
      <c r="U107" s="261"/>
      <c r="V107" s="261"/>
      <c r="W107" s="261"/>
      <c r="X107" s="261"/>
      <c r="Y107" s="261"/>
      <c r="Z107" s="176"/>
    </row>
    <row r="108" spans="1:26" ht="13.2" customHeight="1" x14ac:dyDescent="0.25">
      <c r="A108" s="272"/>
      <c r="B108" s="273"/>
      <c r="C108" s="273"/>
      <c r="D108" s="273"/>
      <c r="E108" s="273"/>
      <c r="F108" s="273"/>
      <c r="G108" s="274"/>
      <c r="H108" s="258"/>
      <c r="I108" s="259"/>
      <c r="J108" s="259"/>
      <c r="K108" s="259"/>
      <c r="L108" s="259"/>
      <c r="M108" s="260"/>
      <c r="N108" s="275"/>
      <c r="O108" s="276"/>
      <c r="P108" s="276"/>
      <c r="Q108" s="276"/>
      <c r="R108" s="276"/>
      <c r="S108" s="276"/>
      <c r="T108" s="277"/>
      <c r="U108" s="261"/>
      <c r="V108" s="261"/>
      <c r="W108" s="261"/>
      <c r="X108" s="261"/>
      <c r="Y108" s="261"/>
      <c r="Z108" s="176"/>
    </row>
    <row r="109" spans="1:26" ht="13.2" customHeight="1" x14ac:dyDescent="0.25">
      <c r="A109" s="272"/>
      <c r="B109" s="273"/>
      <c r="C109" s="273"/>
      <c r="D109" s="273"/>
      <c r="E109" s="273"/>
      <c r="F109" s="273"/>
      <c r="G109" s="274"/>
      <c r="H109" s="258"/>
      <c r="I109" s="259"/>
      <c r="J109" s="259"/>
      <c r="K109" s="259"/>
      <c r="L109" s="259"/>
      <c r="M109" s="260"/>
      <c r="N109" s="275"/>
      <c r="O109" s="276"/>
      <c r="P109" s="276"/>
      <c r="Q109" s="276"/>
      <c r="R109" s="276"/>
      <c r="S109" s="276"/>
      <c r="T109" s="277"/>
      <c r="U109" s="261"/>
      <c r="V109" s="261"/>
      <c r="W109" s="261"/>
      <c r="X109" s="261"/>
      <c r="Y109" s="261"/>
      <c r="Z109" s="176"/>
    </row>
    <row r="110" spans="1:26" ht="13.2" customHeight="1" x14ac:dyDescent="0.25">
      <c r="A110" s="209"/>
      <c r="B110" s="175"/>
      <c r="C110" s="186"/>
      <c r="D110" s="186"/>
      <c r="E110" s="186"/>
      <c r="F110" s="186"/>
      <c r="G110" s="186"/>
      <c r="H110" s="186"/>
      <c r="I110" s="186"/>
      <c r="J110" s="186"/>
      <c r="K110" s="186"/>
      <c r="L110" s="186"/>
      <c r="M110" s="186"/>
      <c r="N110" s="186"/>
      <c r="O110" s="186"/>
      <c r="P110" s="186"/>
      <c r="Q110" s="186"/>
      <c r="R110" s="186"/>
      <c r="S110" s="186"/>
      <c r="T110" s="186"/>
      <c r="U110" s="186"/>
      <c r="V110" s="186"/>
      <c r="W110" s="186"/>
      <c r="X110" s="186"/>
      <c r="Y110" s="186"/>
      <c r="Z110" s="214"/>
    </row>
    <row r="111" spans="1:26" ht="13.2" customHeight="1" x14ac:dyDescent="0.25">
      <c r="A111" s="209"/>
      <c r="B111" s="175"/>
      <c r="C111" s="186"/>
      <c r="D111" s="186"/>
      <c r="E111" s="186"/>
      <c r="F111" s="186"/>
      <c r="G111" s="186"/>
      <c r="H111" s="186"/>
      <c r="I111" s="186"/>
      <c r="J111" s="186"/>
      <c r="K111" s="186"/>
      <c r="L111" s="186"/>
      <c r="M111" s="186"/>
      <c r="N111" s="186"/>
      <c r="O111" s="186"/>
      <c r="P111" s="186"/>
      <c r="Q111" s="186"/>
      <c r="R111" s="186"/>
      <c r="S111" s="186"/>
      <c r="T111" s="186"/>
      <c r="U111" s="186"/>
      <c r="V111" s="186"/>
      <c r="W111" s="186"/>
      <c r="X111" s="186"/>
      <c r="Y111" s="186"/>
      <c r="Z111" s="214"/>
    </row>
    <row r="112" spans="1:26" ht="13.2" customHeight="1" x14ac:dyDescent="0.25">
      <c r="A112" s="209"/>
      <c r="B112" s="175"/>
      <c r="C112" s="186"/>
      <c r="D112" s="186"/>
      <c r="E112" s="186"/>
      <c r="F112" s="186"/>
      <c r="G112" s="186"/>
      <c r="H112" s="186"/>
      <c r="I112" s="186"/>
      <c r="J112" s="186"/>
      <c r="K112" s="186"/>
      <c r="L112" s="186"/>
      <c r="M112" s="186"/>
      <c r="N112" s="186"/>
      <c r="O112" s="186"/>
      <c r="P112" s="186"/>
      <c r="Q112" s="186"/>
      <c r="R112" s="186"/>
      <c r="S112" s="186"/>
      <c r="T112" s="186"/>
      <c r="U112" s="186"/>
      <c r="V112" s="186"/>
      <c r="W112" s="186"/>
      <c r="X112" s="186"/>
      <c r="Y112" s="186"/>
      <c r="Z112" s="214"/>
    </row>
    <row r="113" spans="1:26" ht="13.2" customHeight="1" x14ac:dyDescent="0.25">
      <c r="A113" s="209"/>
      <c r="B113" s="175"/>
      <c r="C113" s="186"/>
      <c r="D113" s="186"/>
      <c r="E113" s="186"/>
      <c r="F113" s="186"/>
      <c r="G113" s="186"/>
      <c r="H113" s="186"/>
      <c r="I113" s="186"/>
      <c r="J113" s="186"/>
      <c r="K113" s="186"/>
      <c r="L113" s="186"/>
      <c r="M113" s="186"/>
      <c r="N113" s="186"/>
      <c r="O113" s="186"/>
      <c r="P113" s="186"/>
      <c r="Q113" s="186"/>
      <c r="R113" s="186"/>
      <c r="S113" s="186"/>
      <c r="T113" s="186"/>
      <c r="U113" s="186"/>
      <c r="V113" s="186"/>
      <c r="W113" s="186"/>
      <c r="X113" s="186"/>
      <c r="Y113" s="186"/>
      <c r="Z113" s="214"/>
    </row>
    <row r="114" spans="1:26" ht="13.2" customHeight="1" x14ac:dyDescent="0.25">
      <c r="A114" s="209"/>
      <c r="B114" s="175"/>
      <c r="C114" s="186"/>
      <c r="D114" s="186"/>
      <c r="E114" s="186"/>
      <c r="F114" s="186"/>
      <c r="G114" s="186"/>
      <c r="H114" s="186"/>
      <c r="I114" s="186"/>
      <c r="J114" s="186"/>
      <c r="K114" s="186"/>
      <c r="L114" s="186"/>
      <c r="M114" s="186"/>
      <c r="N114" s="186"/>
      <c r="O114" s="186"/>
      <c r="P114" s="186"/>
      <c r="Q114" s="186"/>
      <c r="R114" s="186"/>
      <c r="S114" s="186"/>
      <c r="T114" s="186"/>
      <c r="U114" s="186"/>
      <c r="V114" s="186"/>
      <c r="W114" s="186"/>
      <c r="X114" s="186"/>
      <c r="Y114" s="186"/>
      <c r="Z114" s="214"/>
    </row>
    <row r="115" spans="1:26" ht="13.2" customHeight="1" x14ac:dyDescent="0.25">
      <c r="A115" s="209"/>
      <c r="B115" s="175"/>
      <c r="C115" s="186"/>
      <c r="D115" s="186"/>
      <c r="E115" s="186"/>
      <c r="F115" s="186"/>
      <c r="G115" s="186"/>
      <c r="H115" s="186"/>
      <c r="I115" s="186"/>
      <c r="J115" s="186"/>
      <c r="K115" s="186"/>
      <c r="L115" s="186"/>
      <c r="M115" s="186"/>
      <c r="N115" s="186"/>
      <c r="O115" s="186"/>
      <c r="P115" s="186"/>
      <c r="Q115" s="186"/>
      <c r="R115" s="186"/>
      <c r="S115" s="186"/>
      <c r="T115" s="186"/>
      <c r="U115" s="186"/>
      <c r="V115" s="186"/>
      <c r="W115" s="186"/>
      <c r="X115" s="186"/>
      <c r="Y115" s="186"/>
      <c r="Z115" s="214"/>
    </row>
    <row r="116" spans="1:26" ht="13.2" customHeight="1" x14ac:dyDescent="0.25">
      <c r="A116" s="209"/>
      <c r="B116" s="175"/>
      <c r="C116" s="186"/>
      <c r="D116" s="186"/>
      <c r="E116" s="186"/>
      <c r="F116" s="186"/>
      <c r="G116" s="186"/>
      <c r="H116" s="186"/>
      <c r="I116" s="186"/>
      <c r="J116" s="186"/>
      <c r="K116" s="186"/>
      <c r="L116" s="186"/>
      <c r="M116" s="186"/>
      <c r="N116" s="186"/>
      <c r="O116" s="186"/>
      <c r="P116" s="186"/>
      <c r="Q116" s="186"/>
      <c r="R116" s="186"/>
      <c r="S116" s="186"/>
      <c r="T116" s="186"/>
      <c r="U116" s="186"/>
      <c r="V116" s="186"/>
      <c r="W116" s="186"/>
      <c r="X116" s="186"/>
      <c r="Y116" s="186"/>
      <c r="Z116" s="214"/>
    </row>
    <row r="117" spans="1:26" ht="13.2" customHeight="1" x14ac:dyDescent="0.25">
      <c r="A117" s="209"/>
      <c r="B117" s="175"/>
      <c r="C117" s="186"/>
      <c r="D117" s="186"/>
      <c r="E117" s="186"/>
      <c r="F117" s="186"/>
      <c r="G117" s="186"/>
      <c r="H117" s="186"/>
      <c r="I117" s="186"/>
      <c r="J117" s="186"/>
      <c r="K117" s="186"/>
      <c r="L117" s="186"/>
      <c r="M117" s="186"/>
      <c r="N117" s="186"/>
      <c r="O117" s="186"/>
      <c r="P117" s="186"/>
      <c r="Q117" s="186"/>
      <c r="R117" s="186"/>
      <c r="S117" s="186"/>
      <c r="T117" s="186"/>
      <c r="U117" s="186"/>
      <c r="V117" s="186"/>
      <c r="W117" s="186"/>
      <c r="X117" s="186"/>
      <c r="Y117" s="186"/>
      <c r="Z117" s="214"/>
    </row>
    <row r="118" spans="1:26" ht="13.2" customHeight="1" x14ac:dyDescent="0.25">
      <c r="A118" s="209"/>
      <c r="B118" s="175"/>
      <c r="C118" s="186"/>
      <c r="D118" s="186"/>
      <c r="E118" s="186"/>
      <c r="F118" s="186"/>
      <c r="G118" s="186"/>
      <c r="H118" s="186"/>
      <c r="I118" s="186"/>
      <c r="J118" s="186"/>
      <c r="K118" s="186"/>
      <c r="L118" s="186"/>
      <c r="M118" s="186"/>
      <c r="N118" s="186"/>
      <c r="O118" s="186"/>
      <c r="P118" s="186"/>
      <c r="Q118" s="186"/>
      <c r="R118" s="186"/>
      <c r="S118" s="186"/>
      <c r="T118" s="186"/>
      <c r="U118" s="186"/>
      <c r="V118" s="186"/>
      <c r="W118" s="186"/>
      <c r="X118" s="186"/>
      <c r="Y118" s="186"/>
      <c r="Z118" s="214"/>
    </row>
    <row r="119" spans="1:26" ht="29.25" customHeight="1" x14ac:dyDescent="0.25">
      <c r="A119" s="58"/>
      <c r="B119" s="175"/>
      <c r="C119" s="186"/>
      <c r="D119" s="186"/>
      <c r="E119" s="186"/>
      <c r="F119" s="186"/>
      <c r="G119" s="186"/>
      <c r="H119" s="186"/>
      <c r="I119" s="186"/>
      <c r="J119" s="186"/>
      <c r="K119" s="186"/>
      <c r="L119" s="186"/>
      <c r="M119" s="186"/>
      <c r="N119" s="186"/>
      <c r="O119" s="186"/>
      <c r="P119" s="186"/>
      <c r="Q119" s="186"/>
      <c r="R119" s="186"/>
      <c r="S119" s="186"/>
      <c r="T119" s="186"/>
      <c r="U119" s="186"/>
      <c r="V119" s="186"/>
      <c r="W119" s="186"/>
      <c r="X119" s="186"/>
      <c r="Y119" s="186"/>
      <c r="Z119" s="214"/>
    </row>
    <row r="120" spans="1:26" ht="13.2" customHeight="1" x14ac:dyDescent="0.25">
      <c r="A120" s="58"/>
      <c r="B120" s="175"/>
      <c r="C120" s="186"/>
      <c r="D120" s="186"/>
      <c r="E120" s="186"/>
      <c r="F120" s="186"/>
      <c r="G120" s="186"/>
      <c r="H120" s="186"/>
      <c r="I120" s="186"/>
      <c r="J120" s="186"/>
      <c r="K120" s="186"/>
      <c r="L120" s="186"/>
      <c r="M120" s="186"/>
      <c r="N120" s="186"/>
      <c r="O120" s="186"/>
      <c r="P120" s="186"/>
      <c r="Q120" s="186"/>
      <c r="R120" s="186"/>
      <c r="S120" s="186"/>
      <c r="T120" s="186"/>
      <c r="U120" s="186"/>
      <c r="V120" s="186"/>
      <c r="W120" s="186"/>
      <c r="X120" s="186"/>
      <c r="Y120" s="186"/>
      <c r="Z120" s="214"/>
    </row>
    <row r="121" spans="1:26" ht="13.8" thickBot="1" x14ac:dyDescent="0.3">
      <c r="A121" s="215"/>
      <c r="B121" s="216"/>
      <c r="C121" s="217"/>
      <c r="D121" s="217"/>
      <c r="E121" s="217"/>
      <c r="F121" s="217"/>
      <c r="G121" s="217"/>
      <c r="H121" s="217"/>
      <c r="I121" s="217"/>
      <c r="J121" s="217"/>
      <c r="K121" s="217"/>
      <c r="L121" s="217"/>
      <c r="M121" s="217"/>
      <c r="N121" s="217"/>
      <c r="O121" s="217"/>
      <c r="P121" s="217"/>
      <c r="Q121" s="217"/>
      <c r="R121" s="217"/>
      <c r="S121" s="217"/>
      <c r="T121" s="217"/>
      <c r="U121" s="217"/>
      <c r="V121" s="217"/>
      <c r="W121" s="217"/>
      <c r="X121" s="217"/>
      <c r="Y121" s="217"/>
      <c r="Z121" s="218"/>
    </row>
  </sheetData>
  <sheetProtection algorithmName="SHA-512" hashValue="O0FsUQXHRAjrfdQNE+YsJbq/wvJjloV/kokWADTYt/xutF8BNM8msYB4xptLKDN6qq/fQLvdp8X/IriMzi5I0w==" saltValue="Gy3DbbqHYLrqmsgL10aEpA==" spinCount="100000" sheet="1" selectLockedCells="1"/>
  <customSheetViews>
    <customSheetView guid="{94C000B2-F1E8-4309-B026-879312EBDDFE}" showGridLines="0" showRuler="0" topLeftCell="A7">
      <selection activeCell="L29" sqref="L29:M29"/>
      <rowBreaks count="1" manualBreakCount="1">
        <brk id="70" max="16383" man="1"/>
      </rowBreaks>
      <colBreaks count="1" manualBreakCount="1">
        <brk id="26" max="1048575" man="1"/>
      </colBreaks>
      <pageMargins left="0.56999999999999995" right="0.35" top="0.42" bottom="0.54" header="0.37" footer="0.35"/>
      <pageSetup paperSize="9" scale="85" orientation="portrait" horizontalDpi="4294967293" r:id="rId1"/>
      <headerFooter alignWithMargins="0">
        <oddFooter>&amp;L&amp;8Supplieraudit&amp;R&amp;8R/QM3</oddFooter>
      </headerFooter>
    </customSheetView>
    <customSheetView guid="{361266F1-4AF5-4F0A-8FC6-0F39C1250F75}" showPageBreaks="1" showGridLines="0" printArea="1" topLeftCell="A7">
      <selection activeCell="L29" sqref="L29:M29"/>
      <rowBreaks count="1" manualBreakCount="1">
        <brk id="70" max="16383" man="1"/>
      </rowBreaks>
      <colBreaks count="1" manualBreakCount="1">
        <brk id="26" max="1048575" man="1"/>
      </colBreaks>
      <pageMargins left="0.56999999999999995" right="0.35" top="0.42" bottom="0.54" header="0.37" footer="0.35"/>
      <pageSetup paperSize="9" scale="85" orientation="portrait" horizontalDpi="4294967293" r:id="rId2"/>
      <headerFooter alignWithMargins="0">
        <oddFooter>&amp;L&amp;8Supplieraudit&amp;R&amp;8R/QM3</oddFooter>
      </headerFooter>
    </customSheetView>
  </customSheetViews>
  <mergeCells count="173">
    <mergeCell ref="A69:B69"/>
    <mergeCell ref="A70:B70"/>
    <mergeCell ref="A71:B71"/>
    <mergeCell ref="A72:B72"/>
    <mergeCell ref="A73:B73"/>
    <mergeCell ref="C69:E69"/>
    <mergeCell ref="F69:J69"/>
    <mergeCell ref="C70:E70"/>
    <mergeCell ref="C71:E71"/>
    <mergeCell ref="C72:E72"/>
    <mergeCell ref="C73:E73"/>
    <mergeCell ref="F70:J70"/>
    <mergeCell ref="F71:J71"/>
    <mergeCell ref="F72:J72"/>
    <mergeCell ref="F73:J73"/>
    <mergeCell ref="B41:F41"/>
    <mergeCell ref="G40:L40"/>
    <mergeCell ref="M40:Q40"/>
    <mergeCell ref="R40:Y40"/>
    <mergeCell ref="G41:L41"/>
    <mergeCell ref="M41:Q41"/>
    <mergeCell ref="R41:Y41"/>
    <mergeCell ref="W4:Y4"/>
    <mergeCell ref="B35:F35"/>
    <mergeCell ref="B36:F36"/>
    <mergeCell ref="B37:F37"/>
    <mergeCell ref="B39:F39"/>
    <mergeCell ref="B40:F40"/>
    <mergeCell ref="R36:Y36"/>
    <mergeCell ref="G37:L37"/>
    <mergeCell ref="B23:K23"/>
    <mergeCell ref="M23:Y23"/>
    <mergeCell ref="M7:Y7"/>
    <mergeCell ref="M8:Y8"/>
    <mergeCell ref="M10:Y10"/>
    <mergeCell ref="B11:K11"/>
    <mergeCell ref="M11:Y11"/>
    <mergeCell ref="M13:Y13"/>
    <mergeCell ref="R37:Y37"/>
    <mergeCell ref="G27:Y27"/>
    <mergeCell ref="B17:K17"/>
    <mergeCell ref="M17:Y17"/>
    <mergeCell ref="M19:Y19"/>
    <mergeCell ref="A2:N2"/>
    <mergeCell ref="L50:M50"/>
    <mergeCell ref="A3:N3"/>
    <mergeCell ref="M34:Q34"/>
    <mergeCell ref="G35:L35"/>
    <mergeCell ref="M35:Q35"/>
    <mergeCell ref="G36:L36"/>
    <mergeCell ref="M36:Q36"/>
    <mergeCell ref="Q50:R50"/>
    <mergeCell ref="M14:Y14"/>
    <mergeCell ref="S4:U4"/>
    <mergeCell ref="O50:P50"/>
    <mergeCell ref="G28:Y28"/>
    <mergeCell ref="G29:Y29"/>
    <mergeCell ref="R34:Y34"/>
    <mergeCell ref="R35:Y35"/>
    <mergeCell ref="B8:K8"/>
    <mergeCell ref="B34:F34"/>
    <mergeCell ref="G34:L34"/>
    <mergeCell ref="B14:K14"/>
    <mergeCell ref="R39:Y39"/>
    <mergeCell ref="B20:K20"/>
    <mergeCell ref="M20:Y20"/>
    <mergeCell ref="M16:Y16"/>
    <mergeCell ref="M22:Y22"/>
    <mergeCell ref="L71:N71"/>
    <mergeCell ref="O71:Q71"/>
    <mergeCell ref="R71:V71"/>
    <mergeCell ref="W71:Y71"/>
    <mergeCell ref="L72:N72"/>
    <mergeCell ref="O72:Q72"/>
    <mergeCell ref="R72:V72"/>
    <mergeCell ref="W72:Y72"/>
    <mergeCell ref="W69:Y69"/>
    <mergeCell ref="L70:N70"/>
    <mergeCell ref="O70:Q70"/>
    <mergeCell ref="R70:V70"/>
    <mergeCell ref="W70:Y70"/>
    <mergeCell ref="L69:N69"/>
    <mergeCell ref="M37:Q37"/>
    <mergeCell ref="O69:Q69"/>
    <mergeCell ref="R69:V69"/>
    <mergeCell ref="G39:L39"/>
    <mergeCell ref="M39:Q39"/>
    <mergeCell ref="L73:N73"/>
    <mergeCell ref="O73:Q73"/>
    <mergeCell ref="L90:S90"/>
    <mergeCell ref="F89:J89"/>
    <mergeCell ref="A89:C89"/>
    <mergeCell ref="L88:S88"/>
    <mergeCell ref="R73:V73"/>
    <mergeCell ref="W73:Y73"/>
    <mergeCell ref="D86:E86"/>
    <mergeCell ref="D87:E87"/>
    <mergeCell ref="L86:S86"/>
    <mergeCell ref="L87:S87"/>
    <mergeCell ref="T87:V87"/>
    <mergeCell ref="W86:Y86"/>
    <mergeCell ref="W87:Y87"/>
    <mergeCell ref="U109:Y109"/>
    <mergeCell ref="U106:Y106"/>
    <mergeCell ref="U107:Y107"/>
    <mergeCell ref="N109:T109"/>
    <mergeCell ref="A108:G108"/>
    <mergeCell ref="A109:G109"/>
    <mergeCell ref="P95:Y95"/>
    <mergeCell ref="G93:I93"/>
    <mergeCell ref="G94:I94"/>
    <mergeCell ref="G95:I95"/>
    <mergeCell ref="A102:F102"/>
    <mergeCell ref="A103:F103"/>
    <mergeCell ref="G102:K102"/>
    <mergeCell ref="L102:O102"/>
    <mergeCell ref="P102:T102"/>
    <mergeCell ref="U102:Y102"/>
    <mergeCell ref="U101:Y101"/>
    <mergeCell ref="G101:K101"/>
    <mergeCell ref="J95:O95"/>
    <mergeCell ref="A101:F101"/>
    <mergeCell ref="A100:F100"/>
    <mergeCell ref="G100:K100"/>
    <mergeCell ref="H109:M109"/>
    <mergeCell ref="N107:T107"/>
    <mergeCell ref="N108:T108"/>
    <mergeCell ref="N106:T106"/>
    <mergeCell ref="H107:M107"/>
    <mergeCell ref="H108:M108"/>
    <mergeCell ref="G103:K103"/>
    <mergeCell ref="L103:O103"/>
    <mergeCell ref="P103:T103"/>
    <mergeCell ref="R38:Y38"/>
    <mergeCell ref="J94:O94"/>
    <mergeCell ref="J93:O93"/>
    <mergeCell ref="P93:Y93"/>
    <mergeCell ref="P94:Y94"/>
    <mergeCell ref="B38:F38"/>
    <mergeCell ref="G38:L38"/>
    <mergeCell ref="M38:Q38"/>
    <mergeCell ref="H106:M106"/>
    <mergeCell ref="U103:Y103"/>
    <mergeCell ref="W88:Y88"/>
    <mergeCell ref="W89:Y89"/>
    <mergeCell ref="W90:Y90"/>
    <mergeCell ref="T86:V86"/>
    <mergeCell ref="T88:V88"/>
    <mergeCell ref="T89:V89"/>
    <mergeCell ref="T90:V90"/>
    <mergeCell ref="A86:C86"/>
    <mergeCell ref="A87:C87"/>
    <mergeCell ref="A88:C88"/>
    <mergeCell ref="F86:J86"/>
    <mergeCell ref="F87:J87"/>
    <mergeCell ref="D88:E88"/>
    <mergeCell ref="F88:J88"/>
    <mergeCell ref="L89:S89"/>
    <mergeCell ref="U108:Y108"/>
    <mergeCell ref="P100:T100"/>
    <mergeCell ref="U100:Y100"/>
    <mergeCell ref="P101:T101"/>
    <mergeCell ref="A93:F93"/>
    <mergeCell ref="A94:F94"/>
    <mergeCell ref="L100:O100"/>
    <mergeCell ref="L101:O101"/>
    <mergeCell ref="A95:F95"/>
    <mergeCell ref="A106:G106"/>
    <mergeCell ref="A107:G107"/>
    <mergeCell ref="D89:E89"/>
    <mergeCell ref="A90:C90"/>
    <mergeCell ref="D90:E90"/>
    <mergeCell ref="F90:J90"/>
  </mergeCells>
  <phoneticPr fontId="10" type="noConversion"/>
  <conditionalFormatting sqref="U52">
    <cfRule type="cellIs" dxfId="134" priority="2" stopIfTrue="1" operator="greaterThanOrEqual">
      <formula>0.9</formula>
    </cfRule>
  </conditionalFormatting>
  <conditionalFormatting sqref="U50">
    <cfRule type="cellIs" dxfId="133" priority="4" stopIfTrue="1" operator="lessThan">
      <formula>0.6</formula>
    </cfRule>
  </conditionalFormatting>
  <conditionalFormatting sqref="U51">
    <cfRule type="cellIs" dxfId="132" priority="5" stopIfTrue="1" operator="between">
      <formula>0.599</formula>
      <formula>0.899</formula>
    </cfRule>
  </conditionalFormatting>
  <dataValidations count="1">
    <dataValidation type="list" allowBlank="1" showInputMessage="1" showErrorMessage="1" sqref="G94:G95" xr:uid="{00000000-0002-0000-0100-000000000000}">
      <formula1>"Yes,No,Ja,Nein"</formula1>
    </dataValidation>
  </dataValidations>
  <pageMargins left="0.45" right="0.35" top="0.42" bottom="0.54" header="0.37" footer="0.35"/>
  <pageSetup paperSize="9" scale="85" orientation="portrait" r:id="rId3"/>
  <headerFooter alignWithMargins="0">
    <oddFooter>&amp;L&amp;8Supplieraudit&amp;C&amp;8&amp;P/&amp;N&amp;R&amp;8R/QM3</oddFooter>
  </headerFooter>
  <colBreaks count="1" manualBreakCount="1">
    <brk id="26" max="1048575" man="1"/>
  </colBreaks>
  <drawing r:id="rId4"/>
  <legacyDrawing r:id="rId5"/>
  <mc:AlternateContent xmlns:mc="http://schemas.openxmlformats.org/markup-compatibility/2006">
    <mc:Choice Requires="x14">
      <controls>
        <mc:AlternateContent xmlns:mc="http://schemas.openxmlformats.org/markup-compatibility/2006">
          <mc:Choice Requires="x14">
            <control shapeId="3228" r:id="rId6" name="Drop Down 156">
              <controlPr defaultSize="0" autoLine="0" autoPict="0">
                <anchor moveWithCells="1">
                  <from>
                    <xdr:col>22</xdr:col>
                    <xdr:colOff>198120</xdr:colOff>
                    <xdr:row>0</xdr:row>
                    <xdr:rowOff>38100</xdr:rowOff>
                  </from>
                  <to>
                    <xdr:col>26</xdr:col>
                    <xdr:colOff>76200</xdr:colOff>
                    <xdr:row>0</xdr:row>
                    <xdr:rowOff>236220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tabColor indexed="11"/>
  </sheetPr>
  <dimension ref="A1:AH53"/>
  <sheetViews>
    <sheetView showGridLines="0" zoomScale="150" zoomScaleNormal="150" workbookViewId="0">
      <selection activeCell="G10" sqref="G10:I10"/>
    </sheetView>
  </sheetViews>
  <sheetFormatPr defaultColWidth="11.44140625" defaultRowHeight="13.2" x14ac:dyDescent="0.25"/>
  <cols>
    <col min="1" max="1" width="2.33203125" customWidth="1"/>
    <col min="2" max="2" width="7.6640625" customWidth="1"/>
    <col min="3" max="3" width="6.5546875" customWidth="1"/>
    <col min="4" max="5" width="5.6640625" customWidth="1"/>
    <col min="6" max="6" width="1.6640625" customWidth="1"/>
    <col min="7" max="7" width="5.6640625" customWidth="1"/>
    <col min="8" max="8" width="1.6640625" customWidth="1"/>
    <col min="9" max="9" width="5.6640625" customWidth="1"/>
    <col min="10" max="10" width="1.6640625" customWidth="1"/>
    <col min="11" max="11" width="6.109375" customWidth="1"/>
    <col min="12" max="12" width="4.5546875" customWidth="1"/>
    <col min="13" max="13" width="6.109375" customWidth="1"/>
    <col min="14" max="14" width="1.6640625" customWidth="1"/>
    <col min="15" max="15" width="5.6640625" customWidth="1"/>
    <col min="16" max="16" width="2" customWidth="1"/>
    <col min="17" max="17" width="8.44140625" customWidth="1"/>
    <col min="18" max="18" width="1.6640625" customWidth="1"/>
    <col min="19" max="19" width="5.6640625" customWidth="1"/>
    <col min="20" max="20" width="1.44140625" customWidth="1"/>
    <col min="21" max="21" width="5" customWidth="1"/>
    <col min="22" max="22" width="1.33203125" customWidth="1"/>
    <col min="23" max="23" width="7.88671875" customWidth="1"/>
    <col min="24" max="24" width="1.6640625" customWidth="1"/>
    <col min="25" max="25" width="5.88671875" customWidth="1"/>
    <col min="26" max="26" width="2.33203125" customWidth="1"/>
    <col min="27" max="29" width="5.6640625" customWidth="1"/>
  </cols>
  <sheetData>
    <row r="1" spans="1:34" ht="21" customHeight="1" thickBot="1" x14ac:dyDescent="0.3"/>
    <row r="2" spans="1:34" ht="27.6" customHeight="1" x14ac:dyDescent="0.25">
      <c r="A2" s="301" t="str">
        <f>VLOOKUP(Vocabularies!B7,Vocabularies!$B$1:$G$358,Vocabularies!$J$2,0)</f>
        <v>Supplier Self-Assessment</v>
      </c>
      <c r="B2" s="302" t="e">
        <f>VLOOKUP("Reason:",Vocabularies!#REF!,Vocabularies!#REF!,0)</f>
        <v>#REF!</v>
      </c>
      <c r="C2" s="302" t="e">
        <f>VLOOKUP("Reason:",Vocabularies!#REF!,Vocabularies!#REF!,0)</f>
        <v>#REF!</v>
      </c>
      <c r="D2" s="302" t="e">
        <f>VLOOKUP("Reason:",Vocabularies!#REF!,Vocabularies!#REF!,0)</f>
        <v>#REF!</v>
      </c>
      <c r="E2" s="302" t="e">
        <f>VLOOKUP("Reason:",Vocabularies!#REF!,Vocabularies!#REF!,0)</f>
        <v>#REF!</v>
      </c>
      <c r="F2" s="302" t="e">
        <f>VLOOKUP("Reason:",Vocabularies!#REF!,Vocabularies!#REF!,0)</f>
        <v>#REF!</v>
      </c>
      <c r="G2" s="302" t="e">
        <f>VLOOKUP("Reason:",Vocabularies!#REF!,Vocabularies!#REF!,0)</f>
        <v>#REF!</v>
      </c>
      <c r="H2" s="302" t="e">
        <f>VLOOKUP("Reason:",Vocabularies!#REF!,Vocabularies!#REF!,0)</f>
        <v>#REF!</v>
      </c>
      <c r="I2" s="302" t="e">
        <f>VLOOKUP("Reason:",Vocabularies!#REF!,Vocabularies!#REF!,0)</f>
        <v>#REF!</v>
      </c>
      <c r="J2" s="302" t="e">
        <f>VLOOKUP("Reason:",Vocabularies!#REF!,Vocabularies!#REF!,0)</f>
        <v>#REF!</v>
      </c>
      <c r="K2" s="302" t="e">
        <f>VLOOKUP("Reason:",Vocabularies!#REF!,Vocabularies!#REF!,0)</f>
        <v>#REF!</v>
      </c>
      <c r="L2" s="302" t="e">
        <f>VLOOKUP("Reason:",Vocabularies!#REF!,Vocabularies!#REF!,0)</f>
        <v>#REF!</v>
      </c>
      <c r="M2" s="302" t="e">
        <f>VLOOKUP("Reason:",Vocabularies!#REF!,Vocabularies!#REF!,0)</f>
        <v>#REF!</v>
      </c>
      <c r="N2" s="303" t="e">
        <f>VLOOKUP("Reason:",Vocabularies!#REF!,Vocabularies!#REF!,0)</f>
        <v>#REF!</v>
      </c>
      <c r="O2" s="157"/>
      <c r="P2" s="158"/>
      <c r="Q2" s="158"/>
      <c r="R2" s="158"/>
      <c r="S2" s="158"/>
      <c r="T2" s="158"/>
      <c r="U2" s="158"/>
      <c r="V2" s="158"/>
      <c r="W2" s="158"/>
      <c r="X2" s="158"/>
      <c r="Y2" s="158"/>
      <c r="Z2" s="159"/>
      <c r="AB2" s="16"/>
      <c r="AC2" s="16"/>
      <c r="AD2" s="16"/>
      <c r="AE2" s="16"/>
      <c r="AF2" s="16"/>
      <c r="AG2" s="16"/>
      <c r="AH2" s="16"/>
    </row>
    <row r="3" spans="1:34" ht="19.2" customHeight="1" x14ac:dyDescent="0.25">
      <c r="A3" s="306"/>
      <c r="B3" s="307"/>
      <c r="C3" s="307"/>
      <c r="D3" s="307"/>
      <c r="E3" s="307"/>
      <c r="F3" s="307"/>
      <c r="G3" s="307"/>
      <c r="H3" s="307"/>
      <c r="I3" s="307"/>
      <c r="J3" s="307"/>
      <c r="K3" s="307"/>
      <c r="L3" s="307"/>
      <c r="M3" s="307"/>
      <c r="N3" s="308"/>
      <c r="O3" s="148"/>
      <c r="P3" s="130"/>
      <c r="Q3" s="130"/>
      <c r="R3" s="130"/>
      <c r="S3" s="130"/>
      <c r="T3" s="130"/>
      <c r="U3" s="130"/>
      <c r="V3" s="130"/>
      <c r="W3" s="130"/>
      <c r="X3" s="130"/>
      <c r="Y3" s="130"/>
      <c r="Z3" s="160"/>
      <c r="AB3" s="16"/>
      <c r="AC3" s="16"/>
      <c r="AD3" s="16"/>
      <c r="AE3" s="16"/>
      <c r="AF3" s="16"/>
      <c r="AG3" s="16"/>
      <c r="AH3" s="16"/>
    </row>
    <row r="4" spans="1:34" ht="17.399999999999999" customHeight="1" x14ac:dyDescent="0.25">
      <c r="A4" s="161" t="s">
        <v>602</v>
      </c>
      <c r="B4" s="162"/>
      <c r="C4" s="162"/>
      <c r="D4" s="162"/>
      <c r="E4" s="162"/>
      <c r="F4" s="162"/>
      <c r="G4" s="162"/>
      <c r="H4" s="162"/>
      <c r="I4" s="162"/>
      <c r="J4" s="162"/>
      <c r="K4" s="162"/>
      <c r="L4" s="162"/>
      <c r="M4" s="162"/>
      <c r="N4" s="163"/>
      <c r="O4" s="155"/>
      <c r="P4" s="164"/>
      <c r="Q4" s="165"/>
      <c r="R4" s="165"/>
      <c r="S4" s="313" t="str">
        <f>VLOOKUP(Vocabularies!B3,Vocabularies!B1:G358,Vocabularies!J2,0)</f>
        <v>Date:</v>
      </c>
      <c r="T4" s="313"/>
      <c r="U4" s="313"/>
      <c r="V4" s="166"/>
      <c r="W4" s="319">
        <f>Company_Profile!$W$4</f>
        <v>0</v>
      </c>
      <c r="X4" s="320"/>
      <c r="Y4" s="321"/>
      <c r="Z4" s="167"/>
      <c r="AB4" s="16"/>
      <c r="AC4" s="16"/>
      <c r="AD4" s="16"/>
      <c r="AE4" s="16"/>
      <c r="AF4" s="16"/>
      <c r="AG4" s="16"/>
      <c r="AH4" s="16"/>
    </row>
    <row r="5" spans="1:34" ht="19.5" customHeight="1" x14ac:dyDescent="0.25">
      <c r="A5" s="168" t="str">
        <f>VLOOKUP(Vocabularies!B77,Vocabularies!$B$1:$G$358,Vocabularies!$J$2,0)</f>
        <v>Section C, Quality</v>
      </c>
      <c r="B5" s="169"/>
      <c r="C5" s="169"/>
      <c r="D5" s="169"/>
      <c r="E5" s="169"/>
      <c r="F5" s="169"/>
      <c r="G5" s="169"/>
      <c r="H5" s="169"/>
      <c r="I5" s="170"/>
      <c r="J5" s="170"/>
      <c r="K5" s="170"/>
      <c r="L5" s="170"/>
      <c r="M5" s="170"/>
      <c r="N5" s="170"/>
      <c r="O5" s="171"/>
      <c r="P5" s="171"/>
      <c r="Q5" s="172"/>
      <c r="R5" s="172"/>
      <c r="S5" s="172"/>
      <c r="T5" s="172"/>
      <c r="U5" s="172"/>
      <c r="V5" s="172"/>
      <c r="W5" s="172"/>
      <c r="X5" s="172"/>
      <c r="Y5" s="172"/>
      <c r="Z5" s="173"/>
      <c r="AB5" s="16"/>
      <c r="AC5" s="16"/>
      <c r="AD5" s="16"/>
      <c r="AE5" s="16"/>
      <c r="AF5" s="16"/>
      <c r="AG5" s="16"/>
      <c r="AH5" s="16"/>
    </row>
    <row r="6" spans="1:34" ht="15.75" customHeight="1" x14ac:dyDescent="0.25">
      <c r="A6" s="209" t="str">
        <f>VLOOKUP(Vocabularies!B78,Vocabularies!$B$1:$I$358,Vocabularies!$J$2,0)</f>
        <v>Quality and Environmental Management and Safty Certification</v>
      </c>
      <c r="B6" s="175"/>
      <c r="C6" s="186"/>
      <c r="D6" s="186"/>
      <c r="E6" s="186"/>
      <c r="F6" s="186"/>
      <c r="G6" s="186"/>
      <c r="H6" s="186"/>
      <c r="I6" s="186"/>
      <c r="J6" s="186"/>
      <c r="K6" s="186"/>
      <c r="L6" s="186"/>
      <c r="M6" s="186"/>
      <c r="N6" s="186"/>
      <c r="O6" s="186"/>
      <c r="P6" s="186"/>
      <c r="Q6" s="186"/>
      <c r="R6" s="186"/>
      <c r="S6" s="186"/>
      <c r="T6" s="186"/>
      <c r="U6" s="186"/>
      <c r="V6" s="186"/>
      <c r="W6" s="186"/>
      <c r="X6" s="186"/>
      <c r="Y6" s="186"/>
      <c r="Z6" s="176"/>
    </row>
    <row r="7" spans="1:34" ht="13.2" customHeight="1" x14ac:dyDescent="0.25">
      <c r="A7" s="219" t="str">
        <f>VLOOKUP(Vocabularies!B79,Vocabularies!$B$1:$I$358,Vocabularies!$J$2,0)</f>
        <v>Please mark with a cross and enclose a copy of the facility certificates.</v>
      </c>
      <c r="B7" s="175"/>
      <c r="C7" s="186"/>
      <c r="D7" s="186"/>
      <c r="E7" s="186"/>
      <c r="F7" s="186"/>
      <c r="G7" s="186"/>
      <c r="H7" s="186"/>
      <c r="I7" s="186"/>
      <c r="J7" s="186"/>
      <c r="K7" s="186"/>
      <c r="L7" s="186"/>
      <c r="M7" s="186"/>
      <c r="N7" s="186"/>
      <c r="O7" s="186"/>
      <c r="P7" s="186"/>
      <c r="Q7" s="186"/>
      <c r="R7" s="186"/>
      <c r="S7" s="186"/>
      <c r="T7" s="186"/>
      <c r="U7" s="186"/>
      <c r="V7" s="186"/>
      <c r="W7" s="186"/>
      <c r="X7" s="186"/>
      <c r="Y7" s="186"/>
      <c r="Z7" s="176"/>
    </row>
    <row r="8" spans="1:34" ht="8.25" customHeight="1" x14ac:dyDescent="0.25">
      <c r="A8" s="209"/>
      <c r="B8" s="175"/>
      <c r="C8" s="186"/>
      <c r="D8" s="186"/>
      <c r="E8" s="186"/>
      <c r="F8" s="186"/>
      <c r="G8" s="186"/>
      <c r="H8" s="186"/>
      <c r="I8" s="186"/>
      <c r="J8" s="186"/>
      <c r="K8" s="186"/>
      <c r="L8" s="186"/>
      <c r="M8" s="186"/>
      <c r="N8" s="186"/>
      <c r="O8" s="186"/>
      <c r="P8" s="186"/>
      <c r="Q8" s="186"/>
      <c r="R8" s="186"/>
      <c r="S8" s="186"/>
      <c r="T8" s="186"/>
      <c r="U8" s="186"/>
      <c r="V8" s="186"/>
      <c r="W8" s="186"/>
      <c r="X8" s="186"/>
      <c r="Y8" s="186"/>
      <c r="Z8" s="176"/>
    </row>
    <row r="9" spans="1:34" ht="9" customHeight="1" x14ac:dyDescent="0.25">
      <c r="A9" s="209"/>
      <c r="B9" s="175"/>
      <c r="C9" s="186"/>
      <c r="D9" s="186"/>
      <c r="E9" s="186"/>
      <c r="F9" s="186"/>
      <c r="G9" s="186"/>
      <c r="H9" s="186"/>
      <c r="I9" s="186"/>
      <c r="J9" s="186"/>
      <c r="K9" s="186"/>
      <c r="L9" s="186"/>
      <c r="M9" s="186"/>
      <c r="N9" s="186"/>
      <c r="O9" s="186"/>
      <c r="P9" s="186"/>
      <c r="Q9" s="186"/>
      <c r="R9" s="186"/>
      <c r="S9" s="186"/>
      <c r="T9" s="186"/>
      <c r="U9" s="186"/>
      <c r="V9" s="186"/>
      <c r="W9" s="186"/>
      <c r="X9" s="186"/>
      <c r="Y9" s="186"/>
      <c r="Z9" s="176"/>
    </row>
    <row r="10" spans="1:34" ht="17.25" customHeight="1" x14ac:dyDescent="0.25">
      <c r="A10" s="220"/>
      <c r="B10" s="267" t="str">
        <f>VLOOKUP(Vocabularies!B80,Vocabularies!$B$1:$G$358,Vocabularies!$J$2,0)</f>
        <v>Certificate</v>
      </c>
      <c r="C10" s="267"/>
      <c r="D10" s="267"/>
      <c r="E10" s="267"/>
      <c r="F10" s="268"/>
      <c r="G10" s="278" t="str">
        <f>VLOOKUP(Vocabularies!B58,Vocabularies!$B$1:$G$358,Vocabularies!$J$2,0)</f>
        <v>Current</v>
      </c>
      <c r="H10" s="279"/>
      <c r="I10" s="280"/>
      <c r="J10" s="331" t="str">
        <f>VLOOKUP(Vocabularies!B59,Vocabularies!$B$1:$I$358,Vocabularies!$J$2,0)</f>
        <v>If no, planned at?</v>
      </c>
      <c r="K10" s="332"/>
      <c r="L10" s="332"/>
      <c r="M10" s="333"/>
      <c r="N10" s="278" t="str">
        <f>VLOOKUP(Vocabularies!B87,Vocabularies!$B$1:$G$358,Vocabularies!$J$2,0)</f>
        <v>Certification / expiry dates</v>
      </c>
      <c r="O10" s="279"/>
      <c r="P10" s="279"/>
      <c r="Q10" s="279"/>
      <c r="R10" s="279"/>
      <c r="S10" s="279"/>
      <c r="T10" s="280"/>
      <c r="U10" s="262" t="str">
        <f>VLOOKUP(Vocabularies!B88,Vocabularies!$B$1:$G$358,Vocabularies!$J$2,0)</f>
        <v>Certification-Organization</v>
      </c>
      <c r="V10" s="262"/>
      <c r="W10" s="262"/>
      <c r="X10" s="262"/>
      <c r="Y10" s="262"/>
      <c r="Z10" s="176"/>
    </row>
    <row r="11" spans="1:34" ht="13.2" customHeight="1" x14ac:dyDescent="0.25">
      <c r="A11" s="221"/>
      <c r="B11" s="334" t="str">
        <f>VLOOKUP(Vocabularies!B81,Vocabularies!$B$1:$G$358,Vocabularies!$J$2,0)</f>
        <v>IRIS</v>
      </c>
      <c r="C11" s="334"/>
      <c r="D11" s="334"/>
      <c r="E11" s="334"/>
      <c r="F11" s="335"/>
      <c r="G11" s="289"/>
      <c r="H11" s="290"/>
      <c r="I11" s="291"/>
      <c r="J11" s="289"/>
      <c r="K11" s="290"/>
      <c r="L11" s="290"/>
      <c r="M11" s="291"/>
      <c r="N11" s="275"/>
      <c r="O11" s="276"/>
      <c r="P11" s="276"/>
      <c r="Q11" s="276"/>
      <c r="R11" s="276"/>
      <c r="S11" s="276"/>
      <c r="T11" s="277"/>
      <c r="U11" s="261"/>
      <c r="V11" s="261"/>
      <c r="W11" s="261"/>
      <c r="X11" s="261"/>
      <c r="Y11" s="261"/>
      <c r="Z11" s="176"/>
    </row>
    <row r="12" spans="1:34" ht="13.2" customHeight="1" x14ac:dyDescent="0.25">
      <c r="A12" s="221"/>
      <c r="B12" s="334" t="str">
        <f>VLOOKUP(Vocabularies!B82,Vocabularies!$B$1:$G$358,Vocabularies!$J$2,0)</f>
        <v>ISO/TS 16949</v>
      </c>
      <c r="C12" s="334"/>
      <c r="D12" s="334"/>
      <c r="E12" s="334"/>
      <c r="F12" s="335"/>
      <c r="G12" s="289"/>
      <c r="H12" s="290"/>
      <c r="I12" s="291"/>
      <c r="J12" s="289"/>
      <c r="K12" s="290"/>
      <c r="L12" s="290"/>
      <c r="M12" s="291"/>
      <c r="N12" s="275"/>
      <c r="O12" s="276"/>
      <c r="P12" s="276"/>
      <c r="Q12" s="276"/>
      <c r="R12" s="276"/>
      <c r="S12" s="276"/>
      <c r="T12" s="277"/>
      <c r="U12" s="261"/>
      <c r="V12" s="261"/>
      <c r="W12" s="261"/>
      <c r="X12" s="261"/>
      <c r="Y12" s="261"/>
      <c r="Z12" s="176"/>
    </row>
    <row r="13" spans="1:34" ht="13.2" customHeight="1" x14ac:dyDescent="0.25">
      <c r="A13" s="221"/>
      <c r="B13" s="334" t="str">
        <f>VLOOKUP(Vocabularies!B83,Vocabularies!$B$1:$G$358,Vocabularies!$J$2,0)</f>
        <v>ISO 9001:2008</v>
      </c>
      <c r="C13" s="334"/>
      <c r="D13" s="334"/>
      <c r="E13" s="334"/>
      <c r="F13" s="335"/>
      <c r="G13" s="289"/>
      <c r="H13" s="290"/>
      <c r="I13" s="291"/>
      <c r="J13" s="289"/>
      <c r="K13" s="290"/>
      <c r="L13" s="290"/>
      <c r="M13" s="291"/>
      <c r="N13" s="275"/>
      <c r="O13" s="276"/>
      <c r="P13" s="276"/>
      <c r="Q13" s="276"/>
      <c r="R13" s="276"/>
      <c r="S13" s="276"/>
      <c r="T13" s="277"/>
      <c r="U13" s="261"/>
      <c r="V13" s="261"/>
      <c r="W13" s="261"/>
      <c r="X13" s="261"/>
      <c r="Y13" s="261"/>
      <c r="Z13" s="176"/>
    </row>
    <row r="14" spans="1:34" ht="13.2" customHeight="1" x14ac:dyDescent="0.25">
      <c r="A14" s="221"/>
      <c r="B14" s="334" t="str">
        <f>VLOOKUP(Vocabularies!B84,Vocabularies!$B$1:$G$358,Vocabularies!$J$2,0)</f>
        <v>ISO 14001 / EMAS</v>
      </c>
      <c r="C14" s="334"/>
      <c r="D14" s="334"/>
      <c r="E14" s="334"/>
      <c r="F14" s="335"/>
      <c r="G14" s="289"/>
      <c r="H14" s="290"/>
      <c r="I14" s="291"/>
      <c r="J14" s="289"/>
      <c r="K14" s="290"/>
      <c r="L14" s="290"/>
      <c r="M14" s="291"/>
      <c r="N14" s="275"/>
      <c r="O14" s="276"/>
      <c r="P14" s="276"/>
      <c r="Q14" s="276"/>
      <c r="R14" s="276"/>
      <c r="S14" s="276"/>
      <c r="T14" s="277"/>
      <c r="U14" s="261"/>
      <c r="V14" s="261"/>
      <c r="W14" s="261"/>
      <c r="X14" s="261"/>
      <c r="Y14" s="261"/>
      <c r="Z14" s="176"/>
    </row>
    <row r="15" spans="1:34" ht="13.2" customHeight="1" x14ac:dyDescent="0.25">
      <c r="A15" s="221"/>
      <c r="B15" s="334" t="str">
        <f>VLOOKUP(Vocabularies!B85,Vocabularies!$B$1:$G$358,Vocabularies!$J$2,0)</f>
        <v>OHSAS 18001</v>
      </c>
      <c r="C15" s="334"/>
      <c r="D15" s="334"/>
      <c r="E15" s="334"/>
      <c r="F15" s="335"/>
      <c r="G15" s="289"/>
      <c r="H15" s="290"/>
      <c r="I15" s="291"/>
      <c r="J15" s="289"/>
      <c r="K15" s="290"/>
      <c r="L15" s="290"/>
      <c r="M15" s="291"/>
      <c r="N15" s="275"/>
      <c r="O15" s="276"/>
      <c r="P15" s="276"/>
      <c r="Q15" s="276"/>
      <c r="R15" s="276"/>
      <c r="S15" s="276"/>
      <c r="T15" s="277"/>
      <c r="U15" s="261"/>
      <c r="V15" s="261"/>
      <c r="W15" s="261"/>
      <c r="X15" s="261"/>
      <c r="Y15" s="261"/>
      <c r="Z15" s="176"/>
    </row>
    <row r="16" spans="1:34" ht="19.5" customHeight="1" x14ac:dyDescent="0.25">
      <c r="A16" s="209"/>
      <c r="B16" s="175"/>
      <c r="C16" s="186"/>
      <c r="D16" s="186"/>
      <c r="E16" s="186"/>
      <c r="F16" s="186"/>
      <c r="G16" s="186"/>
      <c r="H16" s="186"/>
      <c r="I16" s="186"/>
      <c r="J16" s="186"/>
      <c r="K16" s="186"/>
      <c r="L16" s="186"/>
      <c r="M16" s="186"/>
      <c r="N16" s="186"/>
      <c r="O16" s="186"/>
      <c r="P16" s="186"/>
      <c r="Q16" s="186"/>
      <c r="R16" s="186"/>
      <c r="S16" s="186"/>
      <c r="T16" s="186"/>
      <c r="U16" s="186"/>
      <c r="V16" s="186"/>
      <c r="W16" s="186"/>
      <c r="X16" s="186"/>
      <c r="Y16" s="186"/>
      <c r="Z16" s="176"/>
    </row>
    <row r="17" spans="1:26" ht="14.25" customHeight="1" x14ac:dyDescent="0.25">
      <c r="A17" s="209" t="str">
        <f>VLOOKUP(Vocabularies!B89,Vocabularies!$B$1:$G$358,Vocabularies!$J$2,0)</f>
        <v>Customer Approvals / Audits of Facility</v>
      </c>
      <c r="B17" s="175"/>
      <c r="C17" s="186"/>
      <c r="D17" s="186"/>
      <c r="E17" s="186"/>
      <c r="F17" s="186"/>
      <c r="G17" s="186"/>
      <c r="H17" s="186"/>
      <c r="I17" s="186"/>
      <c r="J17" s="186"/>
      <c r="K17" s="186"/>
      <c r="L17" s="186"/>
      <c r="M17" s="186"/>
      <c r="N17" s="186"/>
      <c r="O17" s="186"/>
      <c r="P17" s="186"/>
      <c r="Q17" s="186"/>
      <c r="R17" s="186"/>
      <c r="S17" s="186"/>
      <c r="T17" s="186"/>
      <c r="U17" s="186"/>
      <c r="V17" s="186"/>
      <c r="W17" s="186"/>
      <c r="X17" s="186"/>
      <c r="Y17" s="186"/>
      <c r="Z17" s="176"/>
    </row>
    <row r="18" spans="1:26" ht="13.2" customHeight="1" x14ac:dyDescent="0.25">
      <c r="A18" s="220"/>
      <c r="B18" s="336" t="str">
        <f>VLOOKUP(Vocabularies!B90,Vocabularies!$B$1:$G$358,Vocabularies!$J$2,0)</f>
        <v>Customer name</v>
      </c>
      <c r="C18" s="267"/>
      <c r="D18" s="267"/>
      <c r="E18" s="267"/>
      <c r="F18" s="267"/>
      <c r="G18" s="267"/>
      <c r="H18" s="267"/>
      <c r="I18" s="267"/>
      <c r="J18" s="267"/>
      <c r="K18" s="267"/>
      <c r="L18" s="267"/>
      <c r="M18" s="268"/>
      <c r="N18" s="278" t="str">
        <f>VLOOKUP(Vocabularies!B91,Vocabularies!$B$1:$G$358,Vocabularies!$J$2,0)</f>
        <v>Audit Typ</v>
      </c>
      <c r="O18" s="279"/>
      <c r="P18" s="279"/>
      <c r="Q18" s="279"/>
      <c r="R18" s="279"/>
      <c r="S18" s="279"/>
      <c r="T18" s="280"/>
      <c r="U18" s="262" t="str">
        <f>VLOOKUP(Vocabularies!B92,Vocabularies!$B$1:$G$358,Vocabularies!$J$2,0)</f>
        <v>Result</v>
      </c>
      <c r="V18" s="262"/>
      <c r="W18" s="262"/>
      <c r="X18" s="262"/>
      <c r="Y18" s="262"/>
      <c r="Z18" s="176"/>
    </row>
    <row r="19" spans="1:26" ht="13.2" customHeight="1" x14ac:dyDescent="0.25">
      <c r="A19" s="221"/>
      <c r="B19" s="330"/>
      <c r="C19" s="273"/>
      <c r="D19" s="273"/>
      <c r="E19" s="273"/>
      <c r="F19" s="273"/>
      <c r="G19" s="273"/>
      <c r="H19" s="273"/>
      <c r="I19" s="273"/>
      <c r="J19" s="273"/>
      <c r="K19" s="273"/>
      <c r="L19" s="273"/>
      <c r="M19" s="274"/>
      <c r="N19" s="275"/>
      <c r="O19" s="276"/>
      <c r="P19" s="276"/>
      <c r="Q19" s="276"/>
      <c r="R19" s="276"/>
      <c r="S19" s="276"/>
      <c r="T19" s="277"/>
      <c r="U19" s="261"/>
      <c r="V19" s="261"/>
      <c r="W19" s="261"/>
      <c r="X19" s="261"/>
      <c r="Y19" s="261"/>
      <c r="Z19" s="176"/>
    </row>
    <row r="20" spans="1:26" ht="13.2" customHeight="1" x14ac:dyDescent="0.25">
      <c r="A20" s="221"/>
      <c r="B20" s="330"/>
      <c r="C20" s="273"/>
      <c r="D20" s="273"/>
      <c r="E20" s="273"/>
      <c r="F20" s="273"/>
      <c r="G20" s="273"/>
      <c r="H20" s="273"/>
      <c r="I20" s="273"/>
      <c r="J20" s="273"/>
      <c r="K20" s="273"/>
      <c r="L20" s="273"/>
      <c r="M20" s="274"/>
      <c r="N20" s="275"/>
      <c r="O20" s="276"/>
      <c r="P20" s="276"/>
      <c r="Q20" s="276"/>
      <c r="R20" s="276"/>
      <c r="S20" s="276"/>
      <c r="T20" s="277"/>
      <c r="U20" s="261"/>
      <c r="V20" s="261"/>
      <c r="W20" s="261"/>
      <c r="X20" s="261"/>
      <c r="Y20" s="261"/>
      <c r="Z20" s="176"/>
    </row>
    <row r="21" spans="1:26" ht="13.2" customHeight="1" x14ac:dyDescent="0.25">
      <c r="A21" s="221"/>
      <c r="B21" s="330"/>
      <c r="C21" s="273"/>
      <c r="D21" s="273"/>
      <c r="E21" s="273"/>
      <c r="F21" s="273"/>
      <c r="G21" s="273"/>
      <c r="H21" s="273"/>
      <c r="I21" s="273"/>
      <c r="J21" s="273"/>
      <c r="K21" s="273"/>
      <c r="L21" s="273"/>
      <c r="M21" s="274"/>
      <c r="N21" s="275"/>
      <c r="O21" s="276"/>
      <c r="P21" s="276"/>
      <c r="Q21" s="276"/>
      <c r="R21" s="276"/>
      <c r="S21" s="276"/>
      <c r="T21" s="277"/>
      <c r="U21" s="261"/>
      <c r="V21" s="261"/>
      <c r="W21" s="261"/>
      <c r="X21" s="261"/>
      <c r="Y21" s="261"/>
      <c r="Z21" s="176"/>
    </row>
    <row r="22" spans="1:26" ht="13.2" customHeight="1" x14ac:dyDescent="0.25">
      <c r="A22" s="221"/>
      <c r="B22" s="330"/>
      <c r="C22" s="273"/>
      <c r="D22" s="273"/>
      <c r="E22" s="273"/>
      <c r="F22" s="273"/>
      <c r="G22" s="273"/>
      <c r="H22" s="273"/>
      <c r="I22" s="273"/>
      <c r="J22" s="273"/>
      <c r="K22" s="273"/>
      <c r="L22" s="273"/>
      <c r="M22" s="274"/>
      <c r="N22" s="275"/>
      <c r="O22" s="276"/>
      <c r="P22" s="276"/>
      <c r="Q22" s="276"/>
      <c r="R22" s="276"/>
      <c r="S22" s="276"/>
      <c r="T22" s="277"/>
      <c r="U22" s="261"/>
      <c r="V22" s="261"/>
      <c r="W22" s="261"/>
      <c r="X22" s="261"/>
      <c r="Y22" s="261"/>
      <c r="Z22" s="176"/>
    </row>
    <row r="23" spans="1:26" ht="13.2" customHeight="1" x14ac:dyDescent="0.25">
      <c r="A23" s="221"/>
      <c r="B23" s="330"/>
      <c r="C23" s="273"/>
      <c r="D23" s="273"/>
      <c r="E23" s="273"/>
      <c r="F23" s="273"/>
      <c r="G23" s="273"/>
      <c r="H23" s="273"/>
      <c r="I23" s="273"/>
      <c r="J23" s="273"/>
      <c r="K23" s="273"/>
      <c r="L23" s="273"/>
      <c r="M23" s="274"/>
      <c r="N23" s="275"/>
      <c r="O23" s="276"/>
      <c r="P23" s="276"/>
      <c r="Q23" s="276"/>
      <c r="R23" s="276"/>
      <c r="S23" s="276"/>
      <c r="T23" s="277"/>
      <c r="U23" s="261"/>
      <c r="V23" s="261"/>
      <c r="W23" s="261"/>
      <c r="X23" s="261"/>
      <c r="Y23" s="261"/>
      <c r="Z23" s="176"/>
    </row>
    <row r="24" spans="1:26" ht="13.2" customHeight="1" x14ac:dyDescent="0.25">
      <c r="A24" s="221"/>
      <c r="B24" s="330"/>
      <c r="C24" s="273"/>
      <c r="D24" s="273"/>
      <c r="E24" s="273"/>
      <c r="F24" s="273"/>
      <c r="G24" s="273"/>
      <c r="H24" s="273"/>
      <c r="I24" s="273"/>
      <c r="J24" s="273"/>
      <c r="K24" s="273"/>
      <c r="L24" s="273"/>
      <c r="M24" s="274"/>
      <c r="N24" s="275"/>
      <c r="O24" s="276"/>
      <c r="P24" s="276"/>
      <c r="Q24" s="276"/>
      <c r="R24" s="276"/>
      <c r="S24" s="276"/>
      <c r="T24" s="277"/>
      <c r="U24" s="261"/>
      <c r="V24" s="261"/>
      <c r="W24" s="261"/>
      <c r="X24" s="261"/>
      <c r="Y24" s="261"/>
      <c r="Z24" s="176"/>
    </row>
    <row r="25" spans="1:26" ht="13.2" customHeight="1" x14ac:dyDescent="0.25">
      <c r="A25" s="221"/>
      <c r="B25" s="330"/>
      <c r="C25" s="273"/>
      <c r="D25" s="273"/>
      <c r="E25" s="273"/>
      <c r="F25" s="273"/>
      <c r="G25" s="273"/>
      <c r="H25" s="273"/>
      <c r="I25" s="273"/>
      <c r="J25" s="273"/>
      <c r="K25" s="273"/>
      <c r="L25" s="273"/>
      <c r="M25" s="274"/>
      <c r="N25" s="275"/>
      <c r="O25" s="276"/>
      <c r="P25" s="276"/>
      <c r="Q25" s="276"/>
      <c r="R25" s="276"/>
      <c r="S25" s="276"/>
      <c r="T25" s="277"/>
      <c r="U25" s="261"/>
      <c r="V25" s="261"/>
      <c r="W25" s="261"/>
      <c r="X25" s="261"/>
      <c r="Y25" s="261"/>
      <c r="Z25" s="176"/>
    </row>
    <row r="26" spans="1:26" ht="13.2" customHeight="1" x14ac:dyDescent="0.25">
      <c r="A26" s="221"/>
      <c r="B26" s="330"/>
      <c r="C26" s="273"/>
      <c r="D26" s="273"/>
      <c r="E26" s="273"/>
      <c r="F26" s="273"/>
      <c r="G26" s="273"/>
      <c r="H26" s="273"/>
      <c r="I26" s="273"/>
      <c r="J26" s="273"/>
      <c r="K26" s="273"/>
      <c r="L26" s="273"/>
      <c r="M26" s="274"/>
      <c r="N26" s="275"/>
      <c r="O26" s="276"/>
      <c r="P26" s="276"/>
      <c r="Q26" s="276"/>
      <c r="R26" s="276"/>
      <c r="S26" s="276"/>
      <c r="T26" s="277"/>
      <c r="U26" s="261"/>
      <c r="V26" s="261"/>
      <c r="W26" s="261"/>
      <c r="X26" s="261"/>
      <c r="Y26" s="261"/>
      <c r="Z26" s="176"/>
    </row>
    <row r="27" spans="1:26" ht="13.2" customHeight="1" x14ac:dyDescent="0.25">
      <c r="A27" s="221"/>
      <c r="B27" s="330"/>
      <c r="C27" s="273"/>
      <c r="D27" s="273"/>
      <c r="E27" s="273"/>
      <c r="F27" s="273"/>
      <c r="G27" s="273"/>
      <c r="H27" s="273"/>
      <c r="I27" s="273"/>
      <c r="J27" s="273"/>
      <c r="K27" s="273"/>
      <c r="L27" s="273"/>
      <c r="M27" s="274"/>
      <c r="N27" s="275"/>
      <c r="O27" s="276"/>
      <c r="P27" s="276"/>
      <c r="Q27" s="276"/>
      <c r="R27" s="276"/>
      <c r="S27" s="276"/>
      <c r="T27" s="277"/>
      <c r="U27" s="261"/>
      <c r="V27" s="261"/>
      <c r="W27" s="261"/>
      <c r="X27" s="261"/>
      <c r="Y27" s="261"/>
      <c r="Z27" s="176"/>
    </row>
    <row r="28" spans="1:26" ht="13.2" customHeight="1" x14ac:dyDescent="0.25">
      <c r="A28" s="221"/>
      <c r="B28" s="330"/>
      <c r="C28" s="273"/>
      <c r="D28" s="273"/>
      <c r="E28" s="273"/>
      <c r="F28" s="273"/>
      <c r="G28" s="273"/>
      <c r="H28" s="273"/>
      <c r="I28" s="273"/>
      <c r="J28" s="273"/>
      <c r="K28" s="273"/>
      <c r="L28" s="273"/>
      <c r="M28" s="274"/>
      <c r="N28" s="275"/>
      <c r="O28" s="276"/>
      <c r="P28" s="276"/>
      <c r="Q28" s="276"/>
      <c r="R28" s="276"/>
      <c r="S28" s="276"/>
      <c r="T28" s="277"/>
      <c r="U28" s="261"/>
      <c r="V28" s="261"/>
      <c r="W28" s="261"/>
      <c r="X28" s="261"/>
      <c r="Y28" s="261"/>
      <c r="Z28" s="176"/>
    </row>
    <row r="29" spans="1:26" ht="13.2" customHeight="1" x14ac:dyDescent="0.25">
      <c r="A29" s="221"/>
      <c r="B29" s="330"/>
      <c r="C29" s="273"/>
      <c r="D29" s="273"/>
      <c r="E29" s="273"/>
      <c r="F29" s="273"/>
      <c r="G29" s="273"/>
      <c r="H29" s="273"/>
      <c r="I29" s="273"/>
      <c r="J29" s="273"/>
      <c r="K29" s="273"/>
      <c r="L29" s="273"/>
      <c r="M29" s="274"/>
      <c r="N29" s="275"/>
      <c r="O29" s="276"/>
      <c r="P29" s="276"/>
      <c r="Q29" s="276"/>
      <c r="R29" s="276"/>
      <c r="S29" s="276"/>
      <c r="T29" s="277"/>
      <c r="U29" s="261"/>
      <c r="V29" s="261"/>
      <c r="W29" s="261"/>
      <c r="X29" s="261"/>
      <c r="Y29" s="261"/>
      <c r="Z29" s="176"/>
    </row>
    <row r="30" spans="1:26" ht="13.2" customHeight="1" x14ac:dyDescent="0.25">
      <c r="A30" s="221"/>
      <c r="B30" s="330"/>
      <c r="C30" s="273"/>
      <c r="D30" s="273"/>
      <c r="E30" s="273"/>
      <c r="F30" s="273"/>
      <c r="G30" s="273"/>
      <c r="H30" s="273"/>
      <c r="I30" s="273"/>
      <c r="J30" s="273"/>
      <c r="K30" s="273"/>
      <c r="L30" s="273"/>
      <c r="M30" s="274"/>
      <c r="N30" s="275"/>
      <c r="O30" s="276"/>
      <c r="P30" s="276"/>
      <c r="Q30" s="276"/>
      <c r="R30" s="276"/>
      <c r="S30" s="276"/>
      <c r="T30" s="277"/>
      <c r="U30" s="261"/>
      <c r="V30" s="261"/>
      <c r="W30" s="261"/>
      <c r="X30" s="261"/>
      <c r="Y30" s="261"/>
      <c r="Z30" s="176"/>
    </row>
    <row r="31" spans="1:26" ht="13.2" customHeight="1" x14ac:dyDescent="0.25">
      <c r="A31" s="209"/>
      <c r="B31" s="175"/>
      <c r="C31" s="186"/>
      <c r="D31" s="186"/>
      <c r="E31" s="186"/>
      <c r="F31" s="186"/>
      <c r="G31" s="186"/>
      <c r="H31" s="186"/>
      <c r="I31" s="186"/>
      <c r="J31" s="186"/>
      <c r="K31" s="186"/>
      <c r="L31" s="186"/>
      <c r="M31" s="186"/>
      <c r="N31" s="186"/>
      <c r="O31" s="186"/>
      <c r="P31" s="186"/>
      <c r="Q31" s="186"/>
      <c r="R31" s="186"/>
      <c r="S31" s="186"/>
      <c r="T31" s="186"/>
      <c r="U31" s="186"/>
      <c r="V31" s="186"/>
      <c r="W31" s="186"/>
      <c r="X31" s="186"/>
      <c r="Y31" s="186"/>
      <c r="Z31" s="176"/>
    </row>
    <row r="32" spans="1:26" ht="13.2" customHeight="1" x14ac:dyDescent="0.25">
      <c r="A32" s="209" t="str">
        <f>VLOOKUP(Vocabularies!B93,Vocabularies!$B$1:$G$358,Vocabularies!$J$2,0)</f>
        <v>Application of Quality Management – Methods:</v>
      </c>
      <c r="B32" s="175"/>
      <c r="C32" s="186"/>
      <c r="D32" s="186"/>
      <c r="E32" s="186"/>
      <c r="F32" s="186"/>
      <c r="G32" s="186"/>
      <c r="H32" s="186"/>
      <c r="I32" s="186"/>
      <c r="J32" s="186"/>
      <c r="K32" s="186"/>
      <c r="L32" s="186"/>
      <c r="M32" s="186"/>
      <c r="N32" s="186"/>
      <c r="O32" s="186"/>
      <c r="P32" s="186"/>
      <c r="Q32" s="186"/>
      <c r="R32" s="186"/>
      <c r="S32" s="186"/>
      <c r="T32" s="186"/>
      <c r="U32" s="186"/>
      <c r="V32" s="186"/>
      <c r="W32" s="186"/>
      <c r="X32" s="186"/>
      <c r="Y32" s="186"/>
      <c r="Z32" s="176"/>
    </row>
    <row r="33" spans="1:26" ht="27.75" customHeight="1" x14ac:dyDescent="0.25">
      <c r="A33" s="209"/>
      <c r="B33" s="327" t="str">
        <f>VLOOKUP(Vocabularies!B94,Vocabularies!$B$1:$G$358,Vocabularies!$J$2,0)</f>
        <v>Methods</v>
      </c>
      <c r="C33" s="327"/>
      <c r="D33" s="327"/>
      <c r="E33" s="327"/>
      <c r="F33" s="327"/>
      <c r="G33" s="327"/>
      <c r="H33" s="327"/>
      <c r="I33" s="327"/>
      <c r="J33" s="329" t="str">
        <f>VLOOKUP(Vocabularies!B95,Vocabularies!$B$1:$G$358,Vocabularies!$J$2,0)</f>
        <v>Generally used</v>
      </c>
      <c r="K33" s="329"/>
      <c r="L33" s="329"/>
      <c r="M33" s="329" t="str">
        <f>VLOOKUP(Vocabularies!B96,Vocabularies!$B$1:$G$358,Vocabularies!$J$2,0)</f>
        <v>Partially used</v>
      </c>
      <c r="N33" s="329"/>
      <c r="O33" s="329"/>
      <c r="P33" s="329" t="str">
        <f>VLOOKUP(Vocabularies!B97,Vocabularies!$B$1:$G$358,Vocabularies!$J$2,0)</f>
        <v>Not yet in use</v>
      </c>
      <c r="Q33" s="329"/>
      <c r="R33" s="329"/>
      <c r="S33" s="262" t="str">
        <f>VLOOKUP(Vocabularies!B98,Vocabularies!$B$1:$G$358,Vocabularies!$J$2,0)</f>
        <v>Used since (date)</v>
      </c>
      <c r="T33" s="262"/>
      <c r="U33" s="262"/>
      <c r="V33" s="262"/>
      <c r="W33" s="262"/>
      <c r="X33" s="262"/>
      <c r="Y33" s="262"/>
      <c r="Z33" s="176"/>
    </row>
    <row r="34" spans="1:26" ht="26.25" customHeight="1" x14ac:dyDescent="0.25">
      <c r="A34" s="209"/>
      <c r="B34" s="328" t="str">
        <f>VLOOKUP(Vocabularies!B99,Vocabularies!$B$1:$G$358,Vocabularies!$J$2,0)</f>
        <v>Detailed Problem Solving Methodology &amp; Tools (3x5 Why, Ishikawa Diagram, etc.)</v>
      </c>
      <c r="C34" s="328"/>
      <c r="D34" s="328"/>
      <c r="E34" s="328"/>
      <c r="F34" s="328"/>
      <c r="G34" s="328"/>
      <c r="H34" s="328"/>
      <c r="I34" s="328"/>
      <c r="J34" s="275"/>
      <c r="K34" s="276"/>
      <c r="L34" s="277"/>
      <c r="M34" s="275"/>
      <c r="N34" s="276"/>
      <c r="O34" s="277"/>
      <c r="P34" s="275"/>
      <c r="Q34" s="276"/>
      <c r="R34" s="277"/>
      <c r="S34" s="326"/>
      <c r="T34" s="287"/>
      <c r="U34" s="287"/>
      <c r="V34" s="287"/>
      <c r="W34" s="287"/>
      <c r="X34" s="287"/>
      <c r="Y34" s="288"/>
      <c r="Z34" s="176"/>
    </row>
    <row r="35" spans="1:26" ht="13.2" customHeight="1" x14ac:dyDescent="0.25">
      <c r="A35" s="209"/>
      <c r="B35" s="327" t="str">
        <f>VLOOKUP(Vocabularies!B100,Vocabularies!$B$1:$G$358,Vocabularies!$J$2,0)</f>
        <v xml:space="preserve">Process and Machine capability studies </v>
      </c>
      <c r="C35" s="327"/>
      <c r="D35" s="327"/>
      <c r="E35" s="327"/>
      <c r="F35" s="327"/>
      <c r="G35" s="327"/>
      <c r="H35" s="327"/>
      <c r="I35" s="327"/>
      <c r="J35" s="275"/>
      <c r="K35" s="276"/>
      <c r="L35" s="277"/>
      <c r="M35" s="275"/>
      <c r="N35" s="276"/>
      <c r="O35" s="277"/>
      <c r="P35" s="275"/>
      <c r="Q35" s="276"/>
      <c r="R35" s="277"/>
      <c r="S35" s="326"/>
      <c r="T35" s="287"/>
      <c r="U35" s="287"/>
      <c r="V35" s="287"/>
      <c r="W35" s="287"/>
      <c r="X35" s="287"/>
      <c r="Y35" s="288"/>
      <c r="Z35" s="176"/>
    </row>
    <row r="36" spans="1:26" ht="13.2" customHeight="1" x14ac:dyDescent="0.25">
      <c r="A36" s="209"/>
      <c r="B36" s="327" t="str">
        <f>VLOOKUP(Vocabularies!B101,Vocabularies!$B$1:$G$358,Vocabularies!$J$2,0)</f>
        <v>Product approval according  PPAP</v>
      </c>
      <c r="C36" s="327"/>
      <c r="D36" s="327"/>
      <c r="E36" s="327"/>
      <c r="F36" s="327"/>
      <c r="G36" s="327"/>
      <c r="H36" s="327"/>
      <c r="I36" s="327"/>
      <c r="J36" s="275"/>
      <c r="K36" s="276"/>
      <c r="L36" s="277"/>
      <c r="M36" s="275"/>
      <c r="N36" s="276"/>
      <c r="O36" s="277"/>
      <c r="P36" s="275"/>
      <c r="Q36" s="276"/>
      <c r="R36" s="277"/>
      <c r="S36" s="326"/>
      <c r="T36" s="287"/>
      <c r="U36" s="287"/>
      <c r="V36" s="287"/>
      <c r="W36" s="287"/>
      <c r="X36" s="287"/>
      <c r="Y36" s="288"/>
      <c r="Z36" s="176"/>
    </row>
    <row r="37" spans="1:26" ht="13.2" customHeight="1" x14ac:dyDescent="0.25">
      <c r="A37" s="209"/>
      <c r="B37" s="327" t="str">
        <f>VLOOKUP(Vocabularies!B102,Vocabularies!$B$1:$G$358,Vocabularies!$J$2,0)</f>
        <v>Product approval according  VDA (PPF)</v>
      </c>
      <c r="C37" s="327"/>
      <c r="D37" s="327"/>
      <c r="E37" s="327"/>
      <c r="F37" s="327"/>
      <c r="G37" s="327"/>
      <c r="H37" s="327"/>
      <c r="I37" s="327"/>
      <c r="J37" s="275"/>
      <c r="K37" s="276"/>
      <c r="L37" s="277"/>
      <c r="M37" s="275"/>
      <c r="N37" s="276"/>
      <c r="O37" s="277"/>
      <c r="P37" s="275"/>
      <c r="Q37" s="276"/>
      <c r="R37" s="277"/>
      <c r="S37" s="326"/>
      <c r="T37" s="287"/>
      <c r="U37" s="287"/>
      <c r="V37" s="287"/>
      <c r="W37" s="287"/>
      <c r="X37" s="287"/>
      <c r="Y37" s="288"/>
      <c r="Z37" s="176"/>
    </row>
    <row r="38" spans="1:26" ht="24.75" customHeight="1" x14ac:dyDescent="0.25">
      <c r="A38" s="209"/>
      <c r="B38" s="328" t="str">
        <f>VLOOKUP(Vocabularies!B103,Vocabularies!$B$1:$G$358,Vocabularies!$J$2,0)</f>
        <v xml:space="preserve">Advanced Product Quality Planning (APQP) / VDA </v>
      </c>
      <c r="C38" s="328"/>
      <c r="D38" s="328"/>
      <c r="E38" s="328"/>
      <c r="F38" s="328"/>
      <c r="G38" s="328"/>
      <c r="H38" s="328"/>
      <c r="I38" s="328"/>
      <c r="J38" s="275"/>
      <c r="K38" s="276"/>
      <c r="L38" s="277"/>
      <c r="M38" s="275"/>
      <c r="N38" s="276"/>
      <c r="O38" s="277"/>
      <c r="P38" s="275"/>
      <c r="Q38" s="276"/>
      <c r="R38" s="277"/>
      <c r="S38" s="326"/>
      <c r="T38" s="287"/>
      <c r="U38" s="287"/>
      <c r="V38" s="287"/>
      <c r="W38" s="287"/>
      <c r="X38" s="287"/>
      <c r="Y38" s="288"/>
      <c r="Z38" s="176"/>
    </row>
    <row r="39" spans="1:26" ht="26.25" customHeight="1" x14ac:dyDescent="0.25">
      <c r="A39" s="209"/>
      <c r="B39" s="328" t="str">
        <f>VLOOKUP(Vocabularies!B104,Vocabularies!$B$1:$G$358,Vocabularies!$J$2,0)</f>
        <v xml:space="preserve">Failure Mode and Effects Analysis (FMEA), Design and Process
</v>
      </c>
      <c r="C39" s="328"/>
      <c r="D39" s="328"/>
      <c r="E39" s="328"/>
      <c r="F39" s="328"/>
      <c r="G39" s="328"/>
      <c r="H39" s="328"/>
      <c r="I39" s="328"/>
      <c r="J39" s="275"/>
      <c r="K39" s="276"/>
      <c r="L39" s="277"/>
      <c r="M39" s="275"/>
      <c r="N39" s="276"/>
      <c r="O39" s="277"/>
      <c r="P39" s="275"/>
      <c r="Q39" s="276"/>
      <c r="R39" s="277"/>
      <c r="S39" s="326"/>
      <c r="T39" s="287"/>
      <c r="U39" s="287"/>
      <c r="V39" s="287"/>
      <c r="W39" s="287"/>
      <c r="X39" s="287"/>
      <c r="Y39" s="288"/>
      <c r="Z39" s="176"/>
    </row>
    <row r="40" spans="1:26" ht="13.2" customHeight="1" x14ac:dyDescent="0.25">
      <c r="A40" s="209"/>
      <c r="B40" s="327" t="str">
        <f>VLOOKUP(Vocabularies!B105,Vocabularies!$B$1:$G$358,Vocabularies!$J$2,0)</f>
        <v>Six Sigma</v>
      </c>
      <c r="C40" s="327"/>
      <c r="D40" s="327"/>
      <c r="E40" s="327"/>
      <c r="F40" s="327"/>
      <c r="G40" s="327"/>
      <c r="H40" s="327"/>
      <c r="I40" s="327"/>
      <c r="J40" s="275"/>
      <c r="K40" s="276"/>
      <c r="L40" s="277"/>
      <c r="M40" s="275"/>
      <c r="N40" s="276"/>
      <c r="O40" s="277"/>
      <c r="P40" s="275"/>
      <c r="Q40" s="276"/>
      <c r="R40" s="277"/>
      <c r="S40" s="326"/>
      <c r="T40" s="287"/>
      <c r="U40" s="287"/>
      <c r="V40" s="287"/>
      <c r="W40" s="287"/>
      <c r="X40" s="287"/>
      <c r="Y40" s="288"/>
      <c r="Z40" s="176"/>
    </row>
    <row r="41" spans="1:26" ht="13.2" customHeight="1" x14ac:dyDescent="0.25">
      <c r="A41" s="209"/>
      <c r="B41" s="327" t="str">
        <f>VLOOKUP(Vocabularies!B106,Vocabularies!$B$1:$G$358,Vocabularies!$J$2,0)</f>
        <v>5S</v>
      </c>
      <c r="C41" s="327"/>
      <c r="D41" s="327"/>
      <c r="E41" s="327"/>
      <c r="F41" s="327"/>
      <c r="G41" s="327"/>
      <c r="H41" s="327"/>
      <c r="I41" s="327"/>
      <c r="J41" s="275"/>
      <c r="K41" s="276"/>
      <c r="L41" s="277"/>
      <c r="M41" s="275"/>
      <c r="N41" s="276"/>
      <c r="O41" s="277"/>
      <c r="P41" s="275"/>
      <c r="Q41" s="276"/>
      <c r="R41" s="277"/>
      <c r="S41" s="326"/>
      <c r="T41" s="287"/>
      <c r="U41" s="287"/>
      <c r="V41" s="287"/>
      <c r="W41" s="287"/>
      <c r="X41" s="287"/>
      <c r="Y41" s="288"/>
      <c r="Z41" s="176"/>
    </row>
    <row r="42" spans="1:26" ht="13.2" customHeight="1" x14ac:dyDescent="0.25">
      <c r="A42" s="209"/>
      <c r="B42" s="175"/>
      <c r="C42" s="186"/>
      <c r="D42" s="186"/>
      <c r="E42" s="186"/>
      <c r="F42" s="186"/>
      <c r="G42" s="186"/>
      <c r="H42" s="186"/>
      <c r="I42" s="186"/>
      <c r="J42" s="186"/>
      <c r="K42" s="186"/>
      <c r="L42" s="186"/>
      <c r="M42" s="186"/>
      <c r="N42" s="186"/>
      <c r="O42" s="186"/>
      <c r="P42" s="186"/>
      <c r="Q42" s="186"/>
      <c r="R42" s="186"/>
      <c r="S42" s="186"/>
      <c r="T42" s="186"/>
      <c r="U42" s="186"/>
      <c r="V42" s="186"/>
      <c r="W42" s="186"/>
      <c r="X42" s="186"/>
      <c r="Y42" s="186"/>
      <c r="Z42" s="176"/>
    </row>
    <row r="43" spans="1:26" ht="13.2" customHeight="1" x14ac:dyDescent="0.25">
      <c r="A43" s="209"/>
      <c r="B43" s="175"/>
      <c r="C43" s="186"/>
      <c r="D43" s="186"/>
      <c r="E43" s="186"/>
      <c r="F43" s="186"/>
      <c r="G43" s="186"/>
      <c r="H43" s="186"/>
      <c r="I43" s="186"/>
      <c r="J43" s="186"/>
      <c r="K43" s="186"/>
      <c r="L43" s="186"/>
      <c r="M43" s="186"/>
      <c r="N43" s="186"/>
      <c r="O43" s="186"/>
      <c r="P43" s="186"/>
      <c r="Q43" s="186"/>
      <c r="R43" s="186"/>
      <c r="S43" s="186"/>
      <c r="T43" s="186"/>
      <c r="U43" s="186"/>
      <c r="V43" s="186"/>
      <c r="W43" s="186"/>
      <c r="X43" s="186"/>
      <c r="Y43" s="186"/>
      <c r="Z43" s="176"/>
    </row>
    <row r="44" spans="1:26" ht="13.2" customHeight="1" x14ac:dyDescent="0.25">
      <c r="A44" s="209"/>
      <c r="B44" s="175"/>
      <c r="C44" s="186"/>
      <c r="D44" s="186"/>
      <c r="E44" s="186"/>
      <c r="F44" s="186"/>
      <c r="G44" s="186"/>
      <c r="H44" s="186"/>
      <c r="I44" s="186"/>
      <c r="J44" s="186"/>
      <c r="K44" s="186"/>
      <c r="L44" s="186"/>
      <c r="M44" s="186"/>
      <c r="N44" s="186"/>
      <c r="O44" s="186"/>
      <c r="P44" s="186"/>
      <c r="Q44" s="186"/>
      <c r="R44" s="186"/>
      <c r="S44" s="186"/>
      <c r="T44" s="186"/>
      <c r="U44" s="186"/>
      <c r="V44" s="186"/>
      <c r="W44" s="186"/>
      <c r="X44" s="186"/>
      <c r="Y44" s="186"/>
      <c r="Z44" s="176"/>
    </row>
    <row r="45" spans="1:26" ht="13.2" customHeight="1" x14ac:dyDescent="0.25">
      <c r="A45" s="209"/>
      <c r="B45" s="175"/>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76"/>
    </row>
    <row r="46" spans="1:26" ht="29.25" customHeight="1" x14ac:dyDescent="0.25">
      <c r="A46" s="58"/>
      <c r="B46" s="175"/>
      <c r="C46" s="186"/>
      <c r="D46" s="186"/>
      <c r="E46" s="186"/>
      <c r="F46" s="186"/>
      <c r="G46" s="186"/>
      <c r="H46" s="186"/>
      <c r="I46" s="186"/>
      <c r="J46" s="186"/>
      <c r="K46" s="186"/>
      <c r="L46" s="186"/>
      <c r="M46" s="186"/>
      <c r="N46" s="186"/>
      <c r="O46" s="186"/>
      <c r="P46" s="186"/>
      <c r="Q46" s="186"/>
      <c r="R46" s="186"/>
      <c r="S46" s="186"/>
      <c r="T46" s="186"/>
      <c r="U46" s="186"/>
      <c r="V46" s="186"/>
      <c r="W46" s="186"/>
      <c r="X46" s="186"/>
      <c r="Y46" s="186"/>
      <c r="Z46" s="176"/>
    </row>
    <row r="47" spans="1:26" ht="13.2" customHeight="1" x14ac:dyDescent="0.25">
      <c r="A47" s="58"/>
      <c r="B47" s="175"/>
      <c r="C47" s="186"/>
      <c r="D47" s="186"/>
      <c r="E47" s="186"/>
      <c r="F47" s="186"/>
      <c r="G47" s="186"/>
      <c r="H47" s="186"/>
      <c r="I47" s="186"/>
      <c r="J47" s="186"/>
      <c r="K47" s="186"/>
      <c r="L47" s="186"/>
      <c r="M47" s="186"/>
      <c r="N47" s="186"/>
      <c r="O47" s="186"/>
      <c r="P47" s="186"/>
      <c r="Q47" s="186"/>
      <c r="R47" s="186"/>
      <c r="S47" s="186"/>
      <c r="T47" s="186"/>
      <c r="U47" s="186"/>
      <c r="V47" s="186"/>
      <c r="W47" s="186"/>
      <c r="X47" s="186"/>
      <c r="Y47" s="186"/>
      <c r="Z47" s="176"/>
    </row>
    <row r="48" spans="1:26" ht="13.8" thickBot="1" x14ac:dyDescent="0.3">
      <c r="A48" s="215"/>
      <c r="B48" s="216"/>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23"/>
    </row>
    <row r="52" spans="1:11" x14ac:dyDescent="0.25">
      <c r="A52" s="222"/>
      <c r="B52" s="222"/>
      <c r="C52" s="222"/>
      <c r="D52" s="222"/>
      <c r="E52" s="222"/>
      <c r="F52" s="222"/>
      <c r="G52" s="222"/>
      <c r="H52" s="222"/>
      <c r="I52" s="222"/>
      <c r="J52" s="222"/>
      <c r="K52" s="222"/>
    </row>
    <row r="53" spans="1:11" x14ac:dyDescent="0.25">
      <c r="A53" s="222"/>
      <c r="B53" s="222"/>
      <c r="C53" s="222"/>
      <c r="D53" s="222"/>
      <c r="E53" s="222"/>
      <c r="F53" s="222"/>
      <c r="G53" s="222"/>
      <c r="H53" s="222"/>
      <c r="I53" s="222"/>
      <c r="J53" s="222"/>
      <c r="K53" s="222"/>
    </row>
  </sheetData>
  <sheetProtection algorithmName="SHA-512" hashValue="BFCSIz367DxICEbkFC2TV4TRupE6115k5u4WUe8Kad16dRyXCqd23w22tmhKwgebgsRJm+ijVSk9qAVEoRGUzw==" saltValue="u5RVwMm8iKUEw53c/13dnA==" spinCount="100000" sheet="1" objects="1" scenarios="1"/>
  <mergeCells count="118">
    <mergeCell ref="S40:Y40"/>
    <mergeCell ref="B41:I41"/>
    <mergeCell ref="J34:L34"/>
    <mergeCell ref="M34:O34"/>
    <mergeCell ref="J36:L36"/>
    <mergeCell ref="B35:I35"/>
    <mergeCell ref="B36:I36"/>
    <mergeCell ref="B37:I37"/>
    <mergeCell ref="B38:I38"/>
    <mergeCell ref="S38:Y38"/>
    <mergeCell ref="J39:L39"/>
    <mergeCell ref="S39:Y39"/>
    <mergeCell ref="B39:I39"/>
    <mergeCell ref="J41:L41"/>
    <mergeCell ref="M41:O41"/>
    <mergeCell ref="P41:R41"/>
    <mergeCell ref="S41:Y41"/>
    <mergeCell ref="J40:L40"/>
    <mergeCell ref="M40:O40"/>
    <mergeCell ref="M39:O39"/>
    <mergeCell ref="J35:L35"/>
    <mergeCell ref="M35:O35"/>
    <mergeCell ref="P35:R35"/>
    <mergeCell ref="B40:I40"/>
    <mergeCell ref="P39:R39"/>
    <mergeCell ref="J38:L38"/>
    <mergeCell ref="M38:O38"/>
    <mergeCell ref="P38:R38"/>
    <mergeCell ref="P40:R40"/>
    <mergeCell ref="B19:M19"/>
    <mergeCell ref="B20:M20"/>
    <mergeCell ref="B10:F10"/>
    <mergeCell ref="B11:F11"/>
    <mergeCell ref="B12:F12"/>
    <mergeCell ref="B13:F13"/>
    <mergeCell ref="J13:M13"/>
    <mergeCell ref="B18:M18"/>
    <mergeCell ref="J37:L37"/>
    <mergeCell ref="A2:N2"/>
    <mergeCell ref="A3:N3"/>
    <mergeCell ref="S4:U4"/>
    <mergeCell ref="G12:I12"/>
    <mergeCell ref="G13:I13"/>
    <mergeCell ref="J11:M11"/>
    <mergeCell ref="J12:M12"/>
    <mergeCell ref="N14:T14"/>
    <mergeCell ref="U14:Y14"/>
    <mergeCell ref="G14:I14"/>
    <mergeCell ref="J14:M14"/>
    <mergeCell ref="B14:F14"/>
    <mergeCell ref="U10:Y10"/>
    <mergeCell ref="U11:Y11"/>
    <mergeCell ref="G11:I11"/>
    <mergeCell ref="N26:T26"/>
    <mergeCell ref="U26:Y26"/>
    <mergeCell ref="W4:Y4"/>
    <mergeCell ref="G10:I10"/>
    <mergeCell ref="J10:M10"/>
    <mergeCell ref="N10:T10"/>
    <mergeCell ref="N24:T24"/>
    <mergeCell ref="U24:Y24"/>
    <mergeCell ref="N25:T25"/>
    <mergeCell ref="U25:Y25"/>
    <mergeCell ref="N11:T11"/>
    <mergeCell ref="N12:T12"/>
    <mergeCell ref="N13:T13"/>
    <mergeCell ref="G15:I15"/>
    <mergeCell ref="J15:M15"/>
    <mergeCell ref="N15:T15"/>
    <mergeCell ref="U15:Y15"/>
    <mergeCell ref="B21:M21"/>
    <mergeCell ref="B22:M22"/>
    <mergeCell ref="B23:M23"/>
    <mergeCell ref="B24:M24"/>
    <mergeCell ref="U12:Y12"/>
    <mergeCell ref="U13:Y13"/>
    <mergeCell ref="B33:I33"/>
    <mergeCell ref="B34:I34"/>
    <mergeCell ref="S34:Y34"/>
    <mergeCell ref="J33:L33"/>
    <mergeCell ref="M33:O33"/>
    <mergeCell ref="P33:R33"/>
    <mergeCell ref="P34:R34"/>
    <mergeCell ref="S33:Y33"/>
    <mergeCell ref="U27:Y27"/>
    <mergeCell ref="B25:M25"/>
    <mergeCell ref="B26:M26"/>
    <mergeCell ref="B29:M29"/>
    <mergeCell ref="B30:M30"/>
    <mergeCell ref="B27:M27"/>
    <mergeCell ref="B28:M28"/>
    <mergeCell ref="U28:Y28"/>
    <mergeCell ref="N29:T29"/>
    <mergeCell ref="U29:Y29"/>
    <mergeCell ref="N30:T30"/>
    <mergeCell ref="U30:Y30"/>
    <mergeCell ref="N27:T27"/>
    <mergeCell ref="B15:F15"/>
    <mergeCell ref="N18:T18"/>
    <mergeCell ref="U18:Y18"/>
    <mergeCell ref="N19:T19"/>
    <mergeCell ref="U19:Y19"/>
    <mergeCell ref="N22:T22"/>
    <mergeCell ref="U22:Y22"/>
    <mergeCell ref="N23:T23"/>
    <mergeCell ref="U23:Y23"/>
    <mergeCell ref="N28:T28"/>
    <mergeCell ref="M37:O37"/>
    <mergeCell ref="P37:R37"/>
    <mergeCell ref="S37:Y37"/>
    <mergeCell ref="N20:T20"/>
    <mergeCell ref="U20:Y20"/>
    <mergeCell ref="N21:T21"/>
    <mergeCell ref="U21:Y21"/>
    <mergeCell ref="S35:Y35"/>
    <mergeCell ref="M36:O36"/>
    <mergeCell ref="P36:R36"/>
    <mergeCell ref="S36:Y36"/>
  </mergeCells>
  <phoneticPr fontId="10" type="noConversion"/>
  <dataValidations count="1">
    <dataValidation type="list" allowBlank="1" showInputMessage="1" showErrorMessage="1" sqref="G11:G15 J34:J41 M34:M41 P34:P41" xr:uid="{00000000-0002-0000-0200-000000000000}">
      <formula1>"Yes,No,Ja,Nein"</formula1>
    </dataValidation>
  </dataValidations>
  <pageMargins left="0.45" right="0.35" top="0.42" bottom="0.54" header="0.37" footer="0.35"/>
  <pageSetup paperSize="9" scale="85" orientation="portrait" r:id="rId1"/>
  <headerFooter alignWithMargins="0">
    <oddFooter>&amp;L&amp;8Supplieraudit&amp;C&amp;8&amp;P/&amp;N&amp;R&amp;8R/QM3</oddFooter>
  </headerFooter>
  <colBreaks count="1" manualBreakCount="1">
    <brk id="2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309697" r:id="rId4" name="Drop Down 1">
              <controlPr defaultSize="0" autoLine="0" autoPict="0">
                <anchor moveWithCells="1">
                  <from>
                    <xdr:col>22</xdr:col>
                    <xdr:colOff>198120</xdr:colOff>
                    <xdr:row>0</xdr:row>
                    <xdr:rowOff>38100</xdr:rowOff>
                  </from>
                  <to>
                    <xdr:col>26</xdr:col>
                    <xdr:colOff>121920</xdr:colOff>
                    <xdr:row>0</xdr:row>
                    <xdr:rowOff>236220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2">
    <tabColor indexed="11"/>
  </sheetPr>
  <dimension ref="A1:Z261"/>
  <sheetViews>
    <sheetView showGridLines="0" zoomScale="75" zoomScaleNormal="75" zoomScaleSheetLayoutView="75" workbookViewId="0">
      <selection activeCell="C3" sqref="C3"/>
    </sheetView>
  </sheetViews>
  <sheetFormatPr defaultColWidth="11.44140625" defaultRowHeight="13.2" x14ac:dyDescent="0.25"/>
  <cols>
    <col min="1" max="1" width="4.109375" customWidth="1"/>
    <col min="2" max="2" width="7.6640625" customWidth="1"/>
    <col min="3" max="3" width="61.33203125" customWidth="1"/>
    <col min="4" max="4" width="8" customWidth="1"/>
    <col min="5" max="5" width="11.5546875" bestFit="1" customWidth="1"/>
    <col min="6" max="6" width="3.44140625" customWidth="1"/>
    <col min="7" max="7" width="9.109375" customWidth="1"/>
    <col min="8" max="8" width="36.88671875" customWidth="1"/>
    <col min="9" max="9" width="8" customWidth="1"/>
    <col min="10" max="10" width="11.5546875" customWidth="1"/>
    <col min="11" max="12" width="3.44140625" customWidth="1"/>
    <col min="13" max="14" width="5.44140625" customWidth="1"/>
    <col min="15" max="15" width="3.6640625" customWidth="1"/>
    <col min="16" max="16" width="4.6640625" customWidth="1"/>
    <col min="17" max="17" width="5" customWidth="1"/>
    <col min="18" max="18" width="2.33203125" customWidth="1"/>
    <col min="19" max="19" width="8" customWidth="1"/>
    <col min="20" max="20" width="7.109375" customWidth="1"/>
    <col min="21" max="21" width="3" style="28" customWidth="1"/>
    <col min="22" max="22" width="35.33203125" customWidth="1"/>
    <col min="23" max="23" width="11.5546875" bestFit="1" customWidth="1"/>
    <col min="24" max="25" width="11.44140625" customWidth="1"/>
    <col min="26" max="26" width="6.109375" customWidth="1"/>
  </cols>
  <sheetData>
    <row r="1" spans="1:26" ht="30" x14ac:dyDescent="0.5">
      <c r="A1" s="379" t="str">
        <f>VLOOKUP(Vocabularies!B7,Vocabularies!$B$1:$G$358,Vocabularies!$J$2,0)</f>
        <v>Supplier Self-Assessment</v>
      </c>
      <c r="B1" s="380" t="e">
        <f>VLOOKUP("Supplier:",Vocabularies!#REF!,Vocabularies!$J$2,0)</f>
        <v>#REF!</v>
      </c>
      <c r="C1" s="380" t="e">
        <f>VLOOKUP("Supplier:",Vocabularies!#REF!,Vocabularies!$J$2,0)</f>
        <v>#REF!</v>
      </c>
      <c r="D1" s="371"/>
      <c r="E1" s="371"/>
      <c r="F1" s="371"/>
      <c r="G1" s="8"/>
      <c r="H1" s="8"/>
      <c r="I1" s="376" t="str">
        <f>Company_Profile!A4</f>
        <v>Status: Rev 05</v>
      </c>
      <c r="J1" s="377"/>
      <c r="K1" s="378"/>
      <c r="L1" s="76"/>
      <c r="M1" s="76"/>
      <c r="N1" s="76"/>
      <c r="O1" s="76"/>
      <c r="P1" s="76"/>
      <c r="Q1" s="76"/>
      <c r="R1" s="8"/>
      <c r="S1" s="8"/>
      <c r="T1" s="9"/>
      <c r="U1" s="27"/>
      <c r="V1" s="14"/>
      <c r="W1" s="16"/>
      <c r="X1" s="14"/>
      <c r="Y1" s="14"/>
      <c r="Z1" s="14"/>
    </row>
    <row r="2" spans="1:26" ht="5.4" customHeight="1" x14ac:dyDescent="0.5">
      <c r="A2" s="10"/>
      <c r="B2" s="1"/>
      <c r="C2" s="1"/>
      <c r="D2" s="1"/>
      <c r="E2" s="1"/>
      <c r="F2" s="1"/>
      <c r="G2" s="3"/>
      <c r="H2" s="3"/>
      <c r="I2" s="356" t="str">
        <f>VLOOKUP(Vocabularies!B3,Vocabularies!$B$1:$G$358,Vocabularies!$J$2,0)</f>
        <v>Date:</v>
      </c>
      <c r="J2" s="357"/>
      <c r="K2" s="358"/>
      <c r="L2" s="1"/>
      <c r="M2" s="1"/>
      <c r="N2" s="1"/>
      <c r="O2" s="1"/>
      <c r="P2" s="1"/>
      <c r="Q2" s="1"/>
      <c r="R2" s="3"/>
      <c r="S2" s="3"/>
      <c r="T2" s="6"/>
      <c r="U2" s="27"/>
      <c r="V2" s="14"/>
      <c r="W2" s="16" t="s">
        <v>156</v>
      </c>
      <c r="X2" s="14"/>
      <c r="Y2" s="14"/>
      <c r="Z2" s="14"/>
    </row>
    <row r="3" spans="1:26" ht="18" customHeight="1" x14ac:dyDescent="0.25">
      <c r="A3" s="105" t="str">
        <f>VLOOKUP(Vocabularies!B5,Vocabularies!$B$1:$G$358,Vocabularies!$J$2,0)</f>
        <v>Supplier:</v>
      </c>
      <c r="B3" s="104"/>
      <c r="C3" s="149" t="str">
        <f>IF(Company_Profile!B8="","",Company_Profile!B8)</f>
        <v/>
      </c>
      <c r="D3" s="82"/>
      <c r="E3" s="374"/>
      <c r="F3" s="375"/>
      <c r="G3" s="4"/>
      <c r="H3" s="7"/>
      <c r="I3" s="359"/>
      <c r="J3" s="360"/>
      <c r="K3" s="361"/>
      <c r="L3" s="77"/>
      <c r="M3" s="77"/>
      <c r="N3" s="77"/>
      <c r="O3" s="77"/>
      <c r="P3" s="77"/>
      <c r="Q3" s="77"/>
      <c r="R3" s="3"/>
      <c r="S3" s="3"/>
      <c r="T3" s="6"/>
      <c r="U3" s="27"/>
      <c r="V3" s="14"/>
      <c r="W3" s="18">
        <v>0</v>
      </c>
      <c r="X3" s="14"/>
      <c r="Y3" s="14"/>
      <c r="Z3" s="14"/>
    </row>
    <row r="4" spans="1:26" ht="7.2" customHeight="1" x14ac:dyDescent="0.25">
      <c r="A4" s="11"/>
      <c r="B4" s="2"/>
      <c r="C4" s="79"/>
      <c r="D4" s="372"/>
      <c r="E4" s="49"/>
      <c r="F4" s="49"/>
      <c r="G4" s="3"/>
      <c r="H4" s="3"/>
      <c r="I4" s="362">
        <f>Company_Profile!W4</f>
        <v>0</v>
      </c>
      <c r="J4" s="363"/>
      <c r="K4" s="364"/>
      <c r="L4" s="49"/>
      <c r="M4" s="49"/>
      <c r="N4" s="49"/>
      <c r="O4" s="49"/>
      <c r="P4" s="49"/>
      <c r="Q4" s="49"/>
      <c r="R4" s="3"/>
      <c r="S4" s="3"/>
      <c r="T4" s="6"/>
      <c r="U4" s="27"/>
      <c r="V4" s="14"/>
      <c r="W4" s="18">
        <v>1</v>
      </c>
      <c r="X4" s="14"/>
      <c r="Y4" s="14"/>
      <c r="Z4" s="14"/>
    </row>
    <row r="5" spans="1:26" ht="17.399999999999999" x14ac:dyDescent="0.3">
      <c r="A5" s="103" t="str">
        <f>VLOOKUP(Vocabularies!B107,Vocabularies!$B$1:$G$358,Vocabularies!$J$2,0)</f>
        <v>Section D Quality System Assessment</v>
      </c>
      <c r="B5" s="2"/>
      <c r="C5" s="102"/>
      <c r="D5" s="372"/>
      <c r="E5" s="78"/>
      <c r="F5" s="78"/>
      <c r="G5" s="3"/>
      <c r="H5" s="3"/>
      <c r="I5" s="365"/>
      <c r="J5" s="366"/>
      <c r="K5" s="367"/>
      <c r="L5" s="78"/>
      <c r="M5" s="78"/>
      <c r="N5" s="78"/>
      <c r="O5" s="78"/>
      <c r="P5" s="78"/>
      <c r="Q5" s="78"/>
      <c r="R5" s="3"/>
      <c r="S5" s="3"/>
      <c r="T5" s="6"/>
      <c r="U5" s="27"/>
      <c r="V5" s="14"/>
      <c r="W5" s="18">
        <v>2</v>
      </c>
      <c r="X5" s="14"/>
      <c r="Y5" s="14"/>
      <c r="Z5" s="14"/>
    </row>
    <row r="6" spans="1:26" ht="6.6" customHeight="1" x14ac:dyDescent="0.25">
      <c r="A6" s="12"/>
      <c r="B6" s="5"/>
      <c r="C6" s="81"/>
      <c r="D6" s="373"/>
      <c r="E6" s="50"/>
      <c r="F6" s="50"/>
      <c r="G6" s="4"/>
      <c r="H6" s="4"/>
      <c r="I6" s="368"/>
      <c r="J6" s="369"/>
      <c r="K6" s="370"/>
      <c r="L6" s="50"/>
      <c r="M6" s="50"/>
      <c r="N6" s="50"/>
      <c r="O6" s="50"/>
      <c r="P6" s="50"/>
      <c r="Q6" s="50"/>
      <c r="R6" s="4"/>
      <c r="S6" s="4"/>
      <c r="T6" s="7"/>
      <c r="U6" s="27"/>
      <c r="V6" s="14"/>
      <c r="W6" s="18" t="s">
        <v>155</v>
      </c>
      <c r="X6" s="14"/>
      <c r="Y6" s="14"/>
      <c r="Z6" s="14"/>
    </row>
    <row r="7" spans="1:26" ht="17.399999999999999" x14ac:dyDescent="0.3">
      <c r="A7" s="118" t="s">
        <v>149</v>
      </c>
      <c r="B7" s="56" t="str">
        <f>VLOOKUP(Vocabularies!B116,Vocabularies!$B$1:$G$358,Vocabularies!$J$2,0)</f>
        <v>Quality Management System</v>
      </c>
      <c r="C7" s="119"/>
      <c r="D7" s="119"/>
      <c r="E7" s="119"/>
      <c r="F7" s="119"/>
      <c r="G7" s="120"/>
      <c r="H7" s="351" t="str">
        <f>VLOOKUP(Vocabularies!B111,Vocabularies!$B$1:$G$358,Vocabularies!$J$2,0)</f>
        <v>Comments (in case of answers „&lt;2 or N/A“)</v>
      </c>
      <c r="I7" s="352"/>
      <c r="J7" s="352"/>
      <c r="K7" s="352"/>
      <c r="L7" s="352"/>
      <c r="M7" s="352"/>
      <c r="N7" s="352"/>
      <c r="O7" s="352"/>
      <c r="P7" s="352"/>
      <c r="Q7" s="353"/>
      <c r="R7" s="381" t="str">
        <f>VLOOKUP(Vocabularies!B4,Vocabularies!$B$1:$G$358,Vocabularies!$J$2,0)</f>
        <v>Assessment</v>
      </c>
      <c r="S7" s="382"/>
      <c r="T7" s="383"/>
      <c r="U7" s="27"/>
      <c r="V7" s="14"/>
      <c r="W7" s="16"/>
      <c r="X7" s="14"/>
      <c r="Y7" s="14"/>
      <c r="Z7" s="14"/>
    </row>
    <row r="8" spans="1:26" ht="4.95" customHeight="1" thickBot="1" x14ac:dyDescent="0.35">
      <c r="A8" s="121"/>
      <c r="B8" s="122"/>
      <c r="C8" s="123"/>
      <c r="D8" s="124"/>
      <c r="E8" s="124"/>
      <c r="F8" s="124"/>
      <c r="G8" s="125"/>
      <c r="H8" s="342"/>
      <c r="I8" s="343"/>
      <c r="J8" s="343"/>
      <c r="K8" s="343"/>
      <c r="L8" s="343"/>
      <c r="M8" s="343"/>
      <c r="N8" s="343"/>
      <c r="O8" s="343"/>
      <c r="P8" s="343"/>
      <c r="Q8" s="344"/>
      <c r="R8" s="3"/>
      <c r="S8" s="3"/>
      <c r="T8" s="6"/>
      <c r="U8" s="27"/>
      <c r="V8" s="14"/>
      <c r="W8" s="14"/>
      <c r="X8" s="14"/>
      <c r="Y8" s="14"/>
      <c r="Z8" s="14"/>
    </row>
    <row r="9" spans="1:26" ht="50.1" customHeight="1" x14ac:dyDescent="0.25">
      <c r="A9" s="121"/>
      <c r="B9" s="126" t="str">
        <f>"1.1"</f>
        <v>1.1</v>
      </c>
      <c r="C9" s="354" t="str">
        <f>VLOOKUP(Vocabularies!B117,Vocabularies!$B$1:$G$358,Vocabularies!$J$2,0)</f>
        <v>Do you have a quality management system in accordance with IRIS?</v>
      </c>
      <c r="D9" s="354"/>
      <c r="E9" s="354"/>
      <c r="F9" s="354"/>
      <c r="G9" s="355"/>
      <c r="H9" s="345"/>
      <c r="I9" s="346"/>
      <c r="J9" s="346"/>
      <c r="K9" s="346"/>
      <c r="L9" s="346"/>
      <c r="M9" s="346"/>
      <c r="N9" s="346"/>
      <c r="O9" s="346"/>
      <c r="P9" s="346"/>
      <c r="Q9" s="347"/>
      <c r="R9" s="74"/>
      <c r="S9" s="69" t="s">
        <v>156</v>
      </c>
      <c r="T9" s="72" t="str">
        <f>IF(S9=" ","",IF(S9="N/A","",IF(S9=2,"Green Grün",IF(S9=1,"Yellow Gelb",IF(S9=0,"Red Rot")))))</f>
        <v/>
      </c>
      <c r="U9" s="27"/>
      <c r="V9" s="246" t="str">
        <f>VLOOKUP(Vocabularies!B113,Vocabularies!$B$1:$G$358,Vocabularies!$J$2,0)</f>
        <v>0 = Requirement not satisfy</v>
      </c>
      <c r="W9" s="339" t="str">
        <f>VLOOKUP(Vocabularies!B114,Vocabularies!$B$1:$G$358,Vocabularies!$J$2,0)</f>
        <v xml:space="preserve">1 = Requirement partial satisfy </v>
      </c>
      <c r="X9" s="340"/>
      <c r="Y9" s="340"/>
      <c r="Z9" s="341"/>
    </row>
    <row r="10" spans="1:26" ht="4.95" customHeight="1" thickBot="1" x14ac:dyDescent="0.3">
      <c r="A10" s="127"/>
      <c r="B10" s="128"/>
      <c r="C10" s="129"/>
      <c r="D10" s="130"/>
      <c r="E10" s="130"/>
      <c r="F10" s="130"/>
      <c r="G10" s="131"/>
      <c r="H10" s="348"/>
      <c r="I10" s="349"/>
      <c r="J10" s="349"/>
      <c r="K10" s="349"/>
      <c r="L10" s="349"/>
      <c r="M10" s="349"/>
      <c r="N10" s="349"/>
      <c r="O10" s="349"/>
      <c r="P10" s="349"/>
      <c r="Q10" s="350"/>
      <c r="R10" s="4"/>
      <c r="S10" s="4"/>
      <c r="T10" s="7"/>
      <c r="U10" s="27"/>
      <c r="V10" s="239"/>
      <c r="W10" s="240"/>
      <c r="X10" s="240"/>
      <c r="Y10" s="240"/>
      <c r="Z10" s="241"/>
    </row>
    <row r="11" spans="1:26" ht="4.95" customHeight="1" x14ac:dyDescent="0.25">
      <c r="A11" s="121"/>
      <c r="B11" s="122"/>
      <c r="C11" s="55"/>
      <c r="D11" s="124"/>
      <c r="E11" s="124"/>
      <c r="F11" s="124"/>
      <c r="G11" s="125"/>
      <c r="H11" s="342"/>
      <c r="I11" s="343"/>
      <c r="J11" s="343"/>
      <c r="K11" s="343"/>
      <c r="L11" s="343"/>
      <c r="M11" s="343"/>
      <c r="N11" s="343"/>
      <c r="O11" s="343"/>
      <c r="P11" s="343"/>
      <c r="Q11" s="344"/>
      <c r="R11" s="3"/>
      <c r="S11" s="3"/>
      <c r="T11" s="6"/>
      <c r="U11" s="27"/>
      <c r="V11" s="242"/>
      <c r="W11" s="237"/>
      <c r="X11" s="237"/>
      <c r="Y11" s="237"/>
      <c r="Z11" s="238"/>
    </row>
    <row r="12" spans="1:26" ht="50.1" customHeight="1" thickBot="1" x14ac:dyDescent="0.3">
      <c r="A12" s="121"/>
      <c r="B12" s="126" t="str">
        <f>"1.2"</f>
        <v>1.2</v>
      </c>
      <c r="C12" s="354" t="str">
        <f>VLOOKUP(Vocabularies!B118,Vocabularies!$B$1:$G$358,Vocabularies!$J$2,0)</f>
        <v>Do you have a quality management manual, which describes the quality organization, the roles and responsibilities as well as the essential processes and practices?</v>
      </c>
      <c r="D12" s="354"/>
      <c r="E12" s="354"/>
      <c r="F12" s="354"/>
      <c r="G12" s="355"/>
      <c r="H12" s="345"/>
      <c r="I12" s="346"/>
      <c r="J12" s="346"/>
      <c r="K12" s="346"/>
      <c r="L12" s="346"/>
      <c r="M12" s="346"/>
      <c r="N12" s="346"/>
      <c r="O12" s="346"/>
      <c r="P12" s="346"/>
      <c r="Q12" s="347"/>
      <c r="R12" s="74"/>
      <c r="S12" s="69" t="s">
        <v>156</v>
      </c>
      <c r="T12" s="62" t="str">
        <f>IF(S12=" ","",IF(S12="N/A","",IF(S12=2,"Green Grün",IF(S12=1,"Yellow Gelb",IF(S12=0,"Red Rot")))))</f>
        <v/>
      </c>
      <c r="U12" s="27"/>
      <c r="V12" s="247" t="str">
        <f>VLOOKUP(Vocabularies!B115,Vocabularies!$B$1:$G$358,Vocabularies!$J$2,0)</f>
        <v xml:space="preserve">2 = Requirement satisfy </v>
      </c>
      <c r="W12" s="337" t="str">
        <f>VLOOKUP(Vocabularies!B112,Vocabularies!$B$1:$G$358,Vocabularies!$J$2,0)</f>
        <v>N/A = Not applicable</v>
      </c>
      <c r="X12" s="338"/>
      <c r="Y12" s="338"/>
      <c r="Z12" s="241"/>
    </row>
    <row r="13" spans="1:26" ht="4.95" customHeight="1" x14ac:dyDescent="0.25">
      <c r="A13" s="127"/>
      <c r="B13" s="132"/>
      <c r="C13" s="63"/>
      <c r="D13" s="130"/>
      <c r="E13" s="130"/>
      <c r="F13" s="130"/>
      <c r="G13" s="131"/>
      <c r="H13" s="348"/>
      <c r="I13" s="349"/>
      <c r="J13" s="349"/>
      <c r="K13" s="349"/>
      <c r="L13" s="349"/>
      <c r="M13" s="349"/>
      <c r="N13" s="349"/>
      <c r="O13" s="349"/>
      <c r="P13" s="349"/>
      <c r="Q13" s="350"/>
      <c r="R13" s="4"/>
      <c r="S13" s="4"/>
      <c r="T13" s="7"/>
      <c r="U13" s="27"/>
      <c r="V13" s="14"/>
      <c r="W13" s="14"/>
      <c r="X13" s="14"/>
      <c r="Y13" s="14"/>
      <c r="Z13" s="14"/>
    </row>
    <row r="14" spans="1:26" ht="4.95" customHeight="1" x14ac:dyDescent="0.25">
      <c r="A14" s="121"/>
      <c r="B14" s="122"/>
      <c r="C14" s="55"/>
      <c r="D14" s="124"/>
      <c r="E14" s="124"/>
      <c r="F14" s="124"/>
      <c r="G14" s="125"/>
      <c r="H14" s="342"/>
      <c r="I14" s="343"/>
      <c r="J14" s="343"/>
      <c r="K14" s="343"/>
      <c r="L14" s="343"/>
      <c r="M14" s="343"/>
      <c r="N14" s="343"/>
      <c r="O14" s="343"/>
      <c r="P14" s="343"/>
      <c r="Q14" s="344"/>
      <c r="R14" s="3"/>
      <c r="S14" s="3"/>
      <c r="T14" s="6"/>
      <c r="U14" s="27"/>
      <c r="V14" s="14"/>
      <c r="W14" s="14"/>
      <c r="X14" s="14"/>
      <c r="Y14" s="14"/>
      <c r="Z14" s="14"/>
    </row>
    <row r="15" spans="1:26" ht="50.1" customHeight="1" x14ac:dyDescent="0.3">
      <c r="A15" s="121"/>
      <c r="B15" s="126" t="str">
        <f>"1.3"</f>
        <v>1.3</v>
      </c>
      <c r="C15" s="354" t="str">
        <f>VLOOKUP(Vocabularies!B119,Vocabularies!$B$1:$G$358,Vocabularies!$J$2,0)</f>
        <v>Can you ensure that technical norms, standards and changes by KB can be evaluated, distributed and realized on time - within 14 days?</v>
      </c>
      <c r="D15" s="354"/>
      <c r="E15" s="354"/>
      <c r="F15" s="354"/>
      <c r="G15" s="355"/>
      <c r="H15" s="345"/>
      <c r="I15" s="346"/>
      <c r="J15" s="346"/>
      <c r="K15" s="346"/>
      <c r="L15" s="346"/>
      <c r="M15" s="346"/>
      <c r="N15" s="346"/>
      <c r="O15" s="346"/>
      <c r="P15" s="346"/>
      <c r="Q15" s="347"/>
      <c r="R15" s="75"/>
      <c r="S15" s="69" t="s">
        <v>156</v>
      </c>
      <c r="T15" s="62" t="str">
        <f>IF(S15=" ","",IF(S15="N/A","",IF(S15=2,"Green Grün",IF(S15=1,"Yellow Gelb",IF(S15=0,"Red Rot")))))</f>
        <v/>
      </c>
      <c r="U15" s="27"/>
      <c r="V15" s="235"/>
      <c r="W15" s="14"/>
      <c r="X15" s="14"/>
      <c r="Y15" s="14"/>
      <c r="Z15" s="14"/>
    </row>
    <row r="16" spans="1:26" ht="4.95" customHeight="1" x14ac:dyDescent="0.25">
      <c r="A16" s="127"/>
      <c r="B16" s="132"/>
      <c r="C16" s="63"/>
      <c r="D16" s="130"/>
      <c r="E16" s="130"/>
      <c r="F16" s="130"/>
      <c r="G16" s="131"/>
      <c r="H16" s="348"/>
      <c r="I16" s="349"/>
      <c r="J16" s="349"/>
      <c r="K16" s="349"/>
      <c r="L16" s="349"/>
      <c r="M16" s="349"/>
      <c r="N16" s="349"/>
      <c r="O16" s="349"/>
      <c r="P16" s="349"/>
      <c r="Q16" s="350"/>
      <c r="R16" s="4"/>
      <c r="S16" s="4"/>
      <c r="T16" s="7"/>
    </row>
    <row r="17" spans="1:21" ht="4.95" customHeight="1" x14ac:dyDescent="0.25">
      <c r="A17" s="121"/>
      <c r="B17" s="122"/>
      <c r="C17" s="55"/>
      <c r="D17" s="124"/>
      <c r="E17" s="124"/>
      <c r="F17" s="124"/>
      <c r="G17" s="125"/>
      <c r="H17" s="342"/>
      <c r="I17" s="343"/>
      <c r="J17" s="343"/>
      <c r="K17" s="343"/>
      <c r="L17" s="343"/>
      <c r="M17" s="343"/>
      <c r="N17" s="343"/>
      <c r="O17" s="343"/>
      <c r="P17" s="343"/>
      <c r="Q17" s="344"/>
      <c r="R17" s="3"/>
      <c r="S17" s="3"/>
      <c r="T17" s="6"/>
    </row>
    <row r="18" spans="1:21" ht="50.1" customHeight="1" x14ac:dyDescent="0.25">
      <c r="A18" s="121"/>
      <c r="B18" s="126" t="str">
        <f>"1.4"</f>
        <v>1.4</v>
      </c>
      <c r="C18" s="354" t="str">
        <f>VLOOKUP(Vocabularies!B120,Vocabularies!$B$1:$G$358,Vocabularies!$J$2,0)</f>
        <v>Do you have a system for the control of documents?</v>
      </c>
      <c r="D18" s="354"/>
      <c r="E18" s="354"/>
      <c r="F18" s="354"/>
      <c r="G18" s="355"/>
      <c r="H18" s="345"/>
      <c r="I18" s="346"/>
      <c r="J18" s="346"/>
      <c r="K18" s="346"/>
      <c r="L18" s="346"/>
      <c r="M18" s="346"/>
      <c r="N18" s="346"/>
      <c r="O18" s="346"/>
      <c r="P18" s="346"/>
      <c r="Q18" s="347"/>
      <c r="R18" s="74"/>
      <c r="S18" s="69" t="s">
        <v>156</v>
      </c>
      <c r="T18" s="72" t="str">
        <f>IF(S18=" ","",IF(S18="N/A","",IF(S18=2,"Green Grün",IF(S18=1,"Yellow Gelb",IF(S18=0,"Red Rot")))))</f>
        <v/>
      </c>
    </row>
    <row r="19" spans="1:21" ht="4.95" customHeight="1" x14ac:dyDescent="0.25">
      <c r="A19" s="127"/>
      <c r="B19" s="132"/>
      <c r="C19" s="63"/>
      <c r="D19" s="130"/>
      <c r="E19" s="130"/>
      <c r="F19" s="130"/>
      <c r="G19" s="131"/>
      <c r="H19" s="348"/>
      <c r="I19" s="349"/>
      <c r="J19" s="349"/>
      <c r="K19" s="349"/>
      <c r="L19" s="349"/>
      <c r="M19" s="349"/>
      <c r="N19" s="349"/>
      <c r="O19" s="349"/>
      <c r="P19" s="349"/>
      <c r="Q19" s="350"/>
      <c r="R19" s="4"/>
      <c r="S19" s="4"/>
      <c r="T19" s="7"/>
    </row>
    <row r="20" spans="1:21" ht="4.5" customHeight="1" x14ac:dyDescent="0.25">
      <c r="A20" s="133"/>
      <c r="B20" s="134"/>
      <c r="C20" s="135"/>
      <c r="D20" s="101"/>
      <c r="E20" s="101"/>
      <c r="F20" s="101"/>
      <c r="G20" s="136"/>
      <c r="H20" s="342"/>
      <c r="I20" s="343"/>
      <c r="J20" s="343"/>
      <c r="K20" s="343"/>
      <c r="L20" s="343"/>
      <c r="M20" s="343"/>
      <c r="N20" s="343"/>
      <c r="O20" s="343"/>
      <c r="P20" s="343"/>
      <c r="Q20" s="344"/>
      <c r="R20" s="8"/>
      <c r="S20" s="8"/>
      <c r="T20" s="9"/>
    </row>
    <row r="21" spans="1:21" ht="50.1" customHeight="1" x14ac:dyDescent="0.25">
      <c r="A21" s="121"/>
      <c r="B21" s="126" t="str">
        <f>"1.5"</f>
        <v>1.5</v>
      </c>
      <c r="C21" s="354" t="str">
        <f>VLOOKUP(Vocabularies!B121,Vocabularies!$B$1:$G$358,Vocabularies!$J$2,0)</f>
        <v>Do you preserve/retain documents with particular retention requirements (DmbA) for at least 15 years after production?</v>
      </c>
      <c r="D21" s="354"/>
      <c r="E21" s="354"/>
      <c r="F21" s="354"/>
      <c r="G21" s="355"/>
      <c r="H21" s="345"/>
      <c r="I21" s="346"/>
      <c r="J21" s="346"/>
      <c r="K21" s="346"/>
      <c r="L21" s="346"/>
      <c r="M21" s="346"/>
      <c r="N21" s="346"/>
      <c r="O21" s="346"/>
      <c r="P21" s="346"/>
      <c r="Q21" s="347"/>
      <c r="R21" s="74"/>
      <c r="S21" s="69" t="s">
        <v>156</v>
      </c>
      <c r="T21" s="72" t="str">
        <f>IF(S21=" ","",IF(S21="N/A","",IF(S21=2,"Green Grün",IF(S21=1,"Yellow Gelb",IF(S21=0,"Red Rot")))))</f>
        <v/>
      </c>
    </row>
    <row r="22" spans="1:21" ht="4.95" customHeight="1" x14ac:dyDescent="0.25">
      <c r="A22" s="127"/>
      <c r="B22" s="132"/>
      <c r="C22" s="63"/>
      <c r="D22" s="130"/>
      <c r="E22" s="130"/>
      <c r="F22" s="130"/>
      <c r="G22" s="131"/>
      <c r="H22" s="348"/>
      <c r="I22" s="349"/>
      <c r="J22" s="349"/>
      <c r="K22" s="349"/>
      <c r="L22" s="349"/>
      <c r="M22" s="349"/>
      <c r="N22" s="349"/>
      <c r="O22" s="349"/>
      <c r="P22" s="349"/>
      <c r="Q22" s="350"/>
      <c r="R22" s="4"/>
      <c r="S22" s="4"/>
      <c r="T22" s="7"/>
    </row>
    <row r="23" spans="1:21" ht="4.95" customHeight="1" x14ac:dyDescent="0.25">
      <c r="A23" s="121"/>
      <c r="B23" s="122"/>
      <c r="C23" s="55"/>
      <c r="D23" s="124"/>
      <c r="E23" s="124"/>
      <c r="F23" s="124"/>
      <c r="G23" s="125"/>
      <c r="H23" s="342"/>
      <c r="I23" s="343"/>
      <c r="J23" s="343"/>
      <c r="K23" s="343"/>
      <c r="L23" s="343"/>
      <c r="M23" s="343"/>
      <c r="N23" s="343"/>
      <c r="O23" s="343"/>
      <c r="P23" s="343"/>
      <c r="Q23" s="344"/>
      <c r="R23" s="3"/>
      <c r="S23" s="3"/>
      <c r="T23" s="6"/>
    </row>
    <row r="24" spans="1:21" ht="50.1" customHeight="1" x14ac:dyDescent="0.25">
      <c r="A24" s="121"/>
      <c r="B24" s="126" t="str">
        <f>"1.6"</f>
        <v>1.6</v>
      </c>
      <c r="C24" s="354" t="str">
        <f>VLOOKUP(Vocabularies!B122,Vocabularies!$B$1:$G$358,Vocabularies!$J$2,0)</f>
        <v>Do you use the International Material Data System (IMDS)? Are you able to submit online?</v>
      </c>
      <c r="D24" s="354"/>
      <c r="E24" s="354"/>
      <c r="F24" s="354"/>
      <c r="G24" s="355"/>
      <c r="H24" s="345"/>
      <c r="I24" s="346"/>
      <c r="J24" s="346"/>
      <c r="K24" s="346"/>
      <c r="L24" s="346"/>
      <c r="M24" s="346"/>
      <c r="N24" s="346"/>
      <c r="O24" s="346"/>
      <c r="P24" s="346"/>
      <c r="Q24" s="347"/>
      <c r="R24" s="74"/>
      <c r="S24" s="69" t="s">
        <v>156</v>
      </c>
      <c r="T24" s="72" t="str">
        <f>IF(S24=" ","",IF(S24="N/A","",IF(S24=2,"Green Grün",IF(S24=1,"Yellow Gelb",IF(S24=0,"Red Rot")))))</f>
        <v/>
      </c>
    </row>
    <row r="25" spans="1:21" s="65" customFormat="1" ht="4.5" customHeight="1" x14ac:dyDescent="0.25">
      <c r="A25" s="137"/>
      <c r="B25" s="138"/>
      <c r="C25" s="66"/>
      <c r="D25" s="66"/>
      <c r="E25" s="66"/>
      <c r="F25" s="66"/>
      <c r="G25" s="83"/>
      <c r="H25" s="348"/>
      <c r="I25" s="349"/>
      <c r="J25" s="349"/>
      <c r="K25" s="349"/>
      <c r="L25" s="349"/>
      <c r="M25" s="349"/>
      <c r="N25" s="349"/>
      <c r="O25" s="349"/>
      <c r="P25" s="349"/>
      <c r="Q25" s="350"/>
      <c r="R25" s="66"/>
      <c r="S25" s="67"/>
      <c r="T25" s="68"/>
      <c r="U25" s="28"/>
    </row>
    <row r="26" spans="1:21" ht="17.399999999999999" x14ac:dyDescent="0.3">
      <c r="A26" s="118" t="s">
        <v>150</v>
      </c>
      <c r="B26" s="56" t="str">
        <f>VLOOKUP(Vocabularies!B123,Vocabularies!$B$1:$G$358,Vocabularies!$J$2,0)</f>
        <v>Management Responsibility</v>
      </c>
      <c r="C26" s="139"/>
      <c r="D26" s="139"/>
      <c r="E26" s="139"/>
      <c r="F26" s="139"/>
      <c r="G26" s="140"/>
      <c r="H26" s="351" t="str">
        <f>VLOOKUP(Vocabularies!B111,Vocabularies!$B$1:$G$358,Vocabularies!$J$2,0)</f>
        <v>Comments (in case of answers „&lt;2 or N/A“)</v>
      </c>
      <c r="I26" s="352"/>
      <c r="J26" s="352"/>
      <c r="K26" s="352"/>
      <c r="L26" s="352"/>
      <c r="M26" s="352"/>
      <c r="N26" s="352"/>
      <c r="O26" s="352"/>
      <c r="P26" s="352"/>
      <c r="Q26" s="353"/>
      <c r="R26" s="381" t="str">
        <f>VLOOKUP(Vocabularies!B4,Vocabularies!$B$1:$G$358,Vocabularies!$J$2,0)</f>
        <v>Assessment</v>
      </c>
      <c r="S26" s="382"/>
      <c r="T26" s="383"/>
    </row>
    <row r="27" spans="1:21" ht="4.95" customHeight="1" x14ac:dyDescent="0.3">
      <c r="A27" s="121"/>
      <c r="B27" s="141"/>
      <c r="C27" s="123"/>
      <c r="D27" s="124"/>
      <c r="E27" s="124"/>
      <c r="F27" s="124"/>
      <c r="G27" s="125"/>
      <c r="H27" s="342"/>
      <c r="I27" s="343"/>
      <c r="J27" s="343"/>
      <c r="K27" s="343"/>
      <c r="L27" s="343"/>
      <c r="M27" s="343"/>
      <c r="N27" s="343"/>
      <c r="O27" s="343"/>
      <c r="P27" s="343"/>
      <c r="Q27" s="344"/>
      <c r="R27" s="3"/>
      <c r="S27" s="3"/>
      <c r="T27" s="6"/>
    </row>
    <row r="28" spans="1:21" ht="50.1" customHeight="1" x14ac:dyDescent="0.25">
      <c r="A28" s="121"/>
      <c r="B28" s="126" t="str">
        <f>"2.1"</f>
        <v>2.1</v>
      </c>
      <c r="C28" s="354" t="str">
        <f>VLOOKUP(Vocabularies!B124,Vocabularies!$B$1:$G$358,Vocabularies!$J$2,0)</f>
        <v xml:space="preserve">Do you have measurable quality objectives issued by your top management? </v>
      </c>
      <c r="D28" s="354"/>
      <c r="E28" s="354"/>
      <c r="F28" s="354"/>
      <c r="G28" s="355"/>
      <c r="H28" s="345"/>
      <c r="I28" s="346"/>
      <c r="J28" s="346"/>
      <c r="K28" s="346"/>
      <c r="L28" s="346"/>
      <c r="M28" s="346"/>
      <c r="N28" s="346"/>
      <c r="O28" s="346"/>
      <c r="P28" s="346"/>
      <c r="Q28" s="347"/>
      <c r="R28" s="74"/>
      <c r="S28" s="69" t="s">
        <v>156</v>
      </c>
      <c r="T28" s="62" t="str">
        <f>IF(S28=" ","",IF(S28="N/A","",IF(S28=2,"Green Grün",IF(S28=1,"Yellow Gelb",IF(S28=0,"Red Rot")))))</f>
        <v/>
      </c>
    </row>
    <row r="29" spans="1:21" ht="4.95" customHeight="1" x14ac:dyDescent="0.25">
      <c r="A29" s="127"/>
      <c r="B29" s="128"/>
      <c r="C29" s="142"/>
      <c r="D29" s="130"/>
      <c r="E29" s="130"/>
      <c r="F29" s="130"/>
      <c r="G29" s="131"/>
      <c r="H29" s="348"/>
      <c r="I29" s="349"/>
      <c r="J29" s="349"/>
      <c r="K29" s="349"/>
      <c r="L29" s="349"/>
      <c r="M29" s="349"/>
      <c r="N29" s="349"/>
      <c r="O29" s="349"/>
      <c r="P29" s="349"/>
      <c r="Q29" s="350"/>
      <c r="R29" s="4"/>
      <c r="S29" s="4"/>
      <c r="T29" s="7"/>
    </row>
    <row r="30" spans="1:21" ht="4.95" customHeight="1" x14ac:dyDescent="0.25">
      <c r="A30" s="121"/>
      <c r="B30" s="126"/>
      <c r="C30" s="143"/>
      <c r="D30" s="124"/>
      <c r="E30" s="124"/>
      <c r="F30" s="124"/>
      <c r="G30" s="125"/>
      <c r="H30" s="342"/>
      <c r="I30" s="343"/>
      <c r="J30" s="343"/>
      <c r="K30" s="343"/>
      <c r="L30" s="343"/>
      <c r="M30" s="343"/>
      <c r="N30" s="343"/>
      <c r="O30" s="343"/>
      <c r="P30" s="343"/>
      <c r="Q30" s="344"/>
      <c r="R30" s="3"/>
      <c r="S30" s="3"/>
      <c r="T30" s="6"/>
    </row>
    <row r="31" spans="1:21" ht="50.1" customHeight="1" x14ac:dyDescent="0.25">
      <c r="A31" s="121"/>
      <c r="B31" s="126" t="str">
        <f>"2.2"</f>
        <v>2.2</v>
      </c>
      <c r="C31" s="354" t="str">
        <f>VLOOKUP(Vocabularies!B125,Vocabularies!$B$1:$G$358,Vocabularies!$J$2,0)</f>
        <v>Does the top management review the QMS at planned intervals?</v>
      </c>
      <c r="D31" s="354"/>
      <c r="E31" s="354"/>
      <c r="F31" s="354"/>
      <c r="G31" s="355"/>
      <c r="H31" s="345"/>
      <c r="I31" s="346"/>
      <c r="J31" s="346"/>
      <c r="K31" s="346"/>
      <c r="L31" s="346"/>
      <c r="M31" s="346"/>
      <c r="N31" s="346"/>
      <c r="O31" s="346"/>
      <c r="P31" s="346"/>
      <c r="Q31" s="347"/>
      <c r="R31" s="74"/>
      <c r="S31" s="69" t="s">
        <v>156</v>
      </c>
      <c r="T31" s="62" t="str">
        <f>IF(S31=" ","",IF(S31="N/A","",IF(S31=2,"Green Grün",IF(S31=1,"Yellow Gelb",IF(S31=0,"Red Rot")))))</f>
        <v/>
      </c>
    </row>
    <row r="32" spans="1:21" ht="4.5" customHeight="1" x14ac:dyDescent="0.25">
      <c r="A32" s="127"/>
      <c r="B32" s="132"/>
      <c r="C32" s="63"/>
      <c r="D32" s="130"/>
      <c r="E32" s="130"/>
      <c r="F32" s="130"/>
      <c r="G32" s="131"/>
      <c r="H32" s="348"/>
      <c r="I32" s="349"/>
      <c r="J32" s="349"/>
      <c r="K32" s="349"/>
      <c r="L32" s="349"/>
      <c r="M32" s="349"/>
      <c r="N32" s="349"/>
      <c r="O32" s="349"/>
      <c r="P32" s="349"/>
      <c r="Q32" s="350"/>
      <c r="R32" s="4"/>
      <c r="S32" s="4"/>
      <c r="T32" s="7"/>
    </row>
    <row r="33" spans="1:20" ht="17.399999999999999" x14ac:dyDescent="0.3">
      <c r="A33" s="118" t="s">
        <v>151</v>
      </c>
      <c r="B33" s="56" t="str">
        <f>VLOOKUP(Vocabularies!B126,Vocabularies!$B$1:$G$358,Vocabularies!$J$2,0)</f>
        <v>Human resources</v>
      </c>
      <c r="C33" s="139"/>
      <c r="D33" s="139"/>
      <c r="E33" s="139"/>
      <c r="F33" s="139"/>
      <c r="G33" s="140"/>
      <c r="H33" s="351" t="str">
        <f>VLOOKUP(Vocabularies!B111,Vocabularies!$B$1:$G$358,Vocabularies!$J$2,0)</f>
        <v>Comments (in case of answers „&lt;2 or N/A“)</v>
      </c>
      <c r="I33" s="352"/>
      <c r="J33" s="352"/>
      <c r="K33" s="352"/>
      <c r="L33" s="352"/>
      <c r="M33" s="352"/>
      <c r="N33" s="352"/>
      <c r="O33" s="352"/>
      <c r="P33" s="352"/>
      <c r="Q33" s="353"/>
      <c r="R33" s="381" t="str">
        <f>VLOOKUP(Vocabularies!B4,Vocabularies!$B$1:$G$358,Vocabularies!$J$2,0)</f>
        <v>Assessment</v>
      </c>
      <c r="S33" s="382"/>
      <c r="T33" s="383"/>
    </row>
    <row r="34" spans="1:20" ht="4.95" customHeight="1" x14ac:dyDescent="0.25">
      <c r="A34" s="121"/>
      <c r="B34" s="122"/>
      <c r="C34" s="55"/>
      <c r="D34" s="124"/>
      <c r="E34" s="124"/>
      <c r="F34" s="124"/>
      <c r="G34" s="125"/>
      <c r="H34" s="342"/>
      <c r="I34" s="343"/>
      <c r="J34" s="343"/>
      <c r="K34" s="343"/>
      <c r="L34" s="343"/>
      <c r="M34" s="343"/>
      <c r="N34" s="343"/>
      <c r="O34" s="343"/>
      <c r="P34" s="343"/>
      <c r="Q34" s="344"/>
      <c r="R34" s="3"/>
      <c r="S34" s="3"/>
      <c r="T34" s="6"/>
    </row>
    <row r="35" spans="1:20" ht="50.1" customHeight="1" x14ac:dyDescent="0.3">
      <c r="A35" s="144"/>
      <c r="B35" s="126" t="str">
        <f>"3.1"</f>
        <v>3.1</v>
      </c>
      <c r="C35" s="354" t="str">
        <f>VLOOKUP(Vocabularies!B127,Vocabularies!$B$1:$G$358,Vocabularies!$J$2,0)</f>
        <v>Are training records of all personnel maintained?</v>
      </c>
      <c r="D35" s="354"/>
      <c r="E35" s="354"/>
      <c r="F35" s="354"/>
      <c r="G35" s="355"/>
      <c r="H35" s="345"/>
      <c r="I35" s="346"/>
      <c r="J35" s="346"/>
      <c r="K35" s="346"/>
      <c r="L35" s="346"/>
      <c r="M35" s="346"/>
      <c r="N35" s="346"/>
      <c r="O35" s="346"/>
      <c r="P35" s="346"/>
      <c r="Q35" s="347"/>
      <c r="R35" s="74"/>
      <c r="S35" s="69" t="s">
        <v>156</v>
      </c>
      <c r="T35" s="62" t="str">
        <f>IF(S35=" ","",IF(S35="N/A","",IF(S35=2,"Green Grün",IF(S35=1,"Yellow Gelb",IF(S35=0,"Red Rot")))))</f>
        <v/>
      </c>
    </row>
    <row r="36" spans="1:20" ht="4.95" customHeight="1" x14ac:dyDescent="0.25">
      <c r="A36" s="127"/>
      <c r="B36" s="132"/>
      <c r="C36" s="63"/>
      <c r="D36" s="130"/>
      <c r="E36" s="130"/>
      <c r="F36" s="130"/>
      <c r="G36" s="131"/>
      <c r="H36" s="348"/>
      <c r="I36" s="349"/>
      <c r="J36" s="349"/>
      <c r="K36" s="349"/>
      <c r="L36" s="349"/>
      <c r="M36" s="349"/>
      <c r="N36" s="349"/>
      <c r="O36" s="349"/>
      <c r="P36" s="349"/>
      <c r="Q36" s="350"/>
      <c r="R36" s="4"/>
      <c r="S36" s="4"/>
      <c r="T36" s="7"/>
    </row>
    <row r="37" spans="1:20" ht="4.95" customHeight="1" x14ac:dyDescent="0.25">
      <c r="A37" s="121"/>
      <c r="B37" s="122"/>
      <c r="C37" s="145"/>
      <c r="D37" s="124"/>
      <c r="E37" s="124"/>
      <c r="F37" s="124"/>
      <c r="G37" s="125"/>
      <c r="H37" s="342"/>
      <c r="I37" s="343"/>
      <c r="J37" s="343"/>
      <c r="K37" s="343"/>
      <c r="L37" s="343"/>
      <c r="M37" s="343"/>
      <c r="N37" s="343"/>
      <c r="O37" s="343"/>
      <c r="P37" s="343"/>
      <c r="Q37" s="344"/>
      <c r="R37" s="3"/>
      <c r="S37" s="3"/>
      <c r="T37" s="6"/>
    </row>
    <row r="38" spans="1:20" ht="50.1" customHeight="1" x14ac:dyDescent="0.25">
      <c r="A38" s="121"/>
      <c r="B38" s="126" t="str">
        <f>"3.2"</f>
        <v>3.2</v>
      </c>
      <c r="C38" s="354" t="str">
        <f>VLOOKUP(Vocabularies!B128,Vocabularies!$B$1:$G$358,Vocabularies!$J$2,0)</f>
        <v>Are the training needs for all personnel analyzed on a regular basis and documented?</v>
      </c>
      <c r="D38" s="354"/>
      <c r="E38" s="354"/>
      <c r="F38" s="354"/>
      <c r="G38" s="355"/>
      <c r="H38" s="345"/>
      <c r="I38" s="346"/>
      <c r="J38" s="346"/>
      <c r="K38" s="346"/>
      <c r="L38" s="346"/>
      <c r="M38" s="346"/>
      <c r="N38" s="346"/>
      <c r="O38" s="346"/>
      <c r="P38" s="346"/>
      <c r="Q38" s="347"/>
      <c r="R38" s="74"/>
      <c r="S38" s="69" t="s">
        <v>156</v>
      </c>
      <c r="T38" s="62" t="str">
        <f>IF(S38=" ","",IF(S38="N/A","",IF(S38=2,"Green Grün",IF(S38=1,"Yellow Gelb",IF(S38=0,"Red Rot")))))</f>
        <v/>
      </c>
    </row>
    <row r="39" spans="1:20" ht="4.95" customHeight="1" x14ac:dyDescent="0.25">
      <c r="A39" s="127"/>
      <c r="B39" s="132"/>
      <c r="C39" s="63"/>
      <c r="D39" s="130"/>
      <c r="E39" s="130"/>
      <c r="F39" s="130"/>
      <c r="G39" s="131"/>
      <c r="H39" s="348"/>
      <c r="I39" s="349"/>
      <c r="J39" s="349"/>
      <c r="K39" s="349"/>
      <c r="L39" s="349"/>
      <c r="M39" s="349"/>
      <c r="N39" s="349"/>
      <c r="O39" s="349"/>
      <c r="P39" s="349"/>
      <c r="Q39" s="350"/>
      <c r="R39" s="4"/>
      <c r="S39" s="4"/>
      <c r="T39" s="7"/>
    </row>
    <row r="40" spans="1:20" ht="4.5" customHeight="1" x14ac:dyDescent="0.25">
      <c r="A40" s="121"/>
      <c r="B40" s="122"/>
      <c r="C40" s="55"/>
      <c r="D40" s="124"/>
      <c r="E40" s="124"/>
      <c r="F40" s="124"/>
      <c r="G40" s="125"/>
      <c r="H40" s="342"/>
      <c r="I40" s="343"/>
      <c r="J40" s="343"/>
      <c r="K40" s="343"/>
      <c r="L40" s="343"/>
      <c r="M40" s="343"/>
      <c r="N40" s="343"/>
      <c r="O40" s="343"/>
      <c r="P40" s="343"/>
      <c r="Q40" s="344"/>
      <c r="R40" s="3"/>
      <c r="T40" s="62"/>
    </row>
    <row r="41" spans="1:20" ht="50.1" customHeight="1" x14ac:dyDescent="0.25">
      <c r="A41" s="121"/>
      <c r="B41" s="126" t="str">
        <f>"3.3"</f>
        <v>3.3</v>
      </c>
      <c r="C41" s="354" t="str">
        <f>VLOOKUP(Vocabularies!B129,Vocabularies!$B$1:$G$358,Vocabularies!$J$2,0)</f>
        <v>Is there a training plan for all personnel?</v>
      </c>
      <c r="D41" s="354"/>
      <c r="E41" s="354"/>
      <c r="F41" s="354"/>
      <c r="G41" s="355"/>
      <c r="H41" s="345"/>
      <c r="I41" s="346"/>
      <c r="J41" s="346"/>
      <c r="K41" s="346"/>
      <c r="L41" s="346"/>
      <c r="M41" s="346"/>
      <c r="N41" s="346"/>
      <c r="O41" s="346"/>
      <c r="P41" s="346"/>
      <c r="Q41" s="347"/>
      <c r="R41" s="74"/>
      <c r="S41" s="69" t="s">
        <v>156</v>
      </c>
      <c r="T41" s="62" t="str">
        <f>IF(S41=" ","",IF(S41="N/A","",IF(S41=2,"Green Grün",IF(S41=1,"Yellow Gelb",IF(S41=0,"Red Rot")))))</f>
        <v/>
      </c>
    </row>
    <row r="42" spans="1:20" ht="4.5" customHeight="1" x14ac:dyDescent="0.25">
      <c r="A42" s="127"/>
      <c r="B42" s="132"/>
      <c r="C42" s="146"/>
      <c r="D42" s="146"/>
      <c r="E42" s="146"/>
      <c r="F42" s="146"/>
      <c r="G42" s="147"/>
      <c r="H42" s="348"/>
      <c r="I42" s="349"/>
      <c r="J42" s="349"/>
      <c r="K42" s="349"/>
      <c r="L42" s="349"/>
      <c r="M42" s="349"/>
      <c r="N42" s="349"/>
      <c r="O42" s="349"/>
      <c r="P42" s="349"/>
      <c r="Q42" s="350"/>
      <c r="R42" s="70"/>
      <c r="S42" s="4"/>
      <c r="T42" s="64"/>
    </row>
    <row r="43" spans="1:20" ht="4.5" customHeight="1" x14ac:dyDescent="0.25">
      <c r="A43" s="121"/>
      <c r="B43" s="122"/>
      <c r="C43" s="55"/>
      <c r="D43" s="124"/>
      <c r="E43" s="124"/>
      <c r="F43" s="124"/>
      <c r="G43" s="125"/>
      <c r="H43" s="342"/>
      <c r="I43" s="343"/>
      <c r="J43" s="343"/>
      <c r="K43" s="343"/>
      <c r="L43" s="343"/>
      <c r="M43" s="343"/>
      <c r="N43" s="343"/>
      <c r="O43" s="343"/>
      <c r="P43" s="343"/>
      <c r="Q43" s="344"/>
      <c r="R43" s="3"/>
      <c r="T43" s="62"/>
    </row>
    <row r="44" spans="1:20" ht="50.1" customHeight="1" x14ac:dyDescent="0.25">
      <c r="A44" s="121"/>
      <c r="B44" s="126" t="str">
        <f>"3.4"</f>
        <v>3.4</v>
      </c>
      <c r="C44" s="354" t="str">
        <f>VLOOKUP(Vocabularies!B130,Vocabularies!$B$1:$G$358,Vocabularies!$J$2,0)</f>
        <v>Is training reviewed for its effectiveness?</v>
      </c>
      <c r="D44" s="354"/>
      <c r="E44" s="354"/>
      <c r="F44" s="354"/>
      <c r="G44" s="355"/>
      <c r="H44" s="345"/>
      <c r="I44" s="346"/>
      <c r="J44" s="346"/>
      <c r="K44" s="346"/>
      <c r="L44" s="346"/>
      <c r="M44" s="346"/>
      <c r="N44" s="346"/>
      <c r="O44" s="346"/>
      <c r="P44" s="346"/>
      <c r="Q44" s="347"/>
      <c r="R44" s="74"/>
      <c r="S44" s="69" t="s">
        <v>156</v>
      </c>
      <c r="T44" s="62" t="str">
        <f>IF(S44=" ","",IF(S44="N/A","",IF(S44=2,"Green Grün",IF(S44=1,"Yellow Gelb",IF(S44=0,"Red Rot")))))</f>
        <v/>
      </c>
    </row>
    <row r="45" spans="1:20" ht="5.25" customHeight="1" x14ac:dyDescent="0.25">
      <c r="A45" s="127"/>
      <c r="B45" s="132"/>
      <c r="C45" s="84"/>
      <c r="D45" s="84"/>
      <c r="E45" s="84"/>
      <c r="F45" s="84"/>
      <c r="G45" s="85"/>
      <c r="H45" s="348"/>
      <c r="I45" s="349"/>
      <c r="J45" s="349"/>
      <c r="K45" s="349"/>
      <c r="L45" s="349"/>
      <c r="M45" s="349"/>
      <c r="N45" s="349"/>
      <c r="O45" s="349"/>
      <c r="P45" s="349"/>
      <c r="Q45" s="350"/>
      <c r="R45" s="84"/>
      <c r="S45" s="4"/>
      <c r="T45" s="86"/>
    </row>
    <row r="46" spans="1:20" ht="5.25" customHeight="1" x14ac:dyDescent="0.25">
      <c r="A46" s="121"/>
      <c r="B46" s="122"/>
      <c r="C46" s="55"/>
      <c r="D46" s="124"/>
      <c r="E46" s="124"/>
      <c r="F46" s="124"/>
      <c r="G46" s="125"/>
      <c r="H46" s="342"/>
      <c r="I46" s="343"/>
      <c r="J46" s="343"/>
      <c r="K46" s="343"/>
      <c r="L46" s="343"/>
      <c r="M46" s="343"/>
      <c r="N46" s="343"/>
      <c r="O46" s="343"/>
      <c r="P46" s="343"/>
      <c r="Q46" s="344"/>
      <c r="R46" s="3"/>
      <c r="T46" s="62"/>
    </row>
    <row r="47" spans="1:20" ht="50.1" customHeight="1" x14ac:dyDescent="0.25">
      <c r="A47" s="121"/>
      <c r="B47" s="126" t="str">
        <f>"3.5"</f>
        <v>3.5</v>
      </c>
      <c r="C47" s="354" t="str">
        <f>VLOOKUP(Vocabularies!B131,Vocabularies!$B$1:$G$358,Vocabularies!$J$2,0)</f>
        <v>Is the awareness and motivation of the personnel assessed on a regular basis with respect to the importance and consequence of their activities on the customer requirements?</v>
      </c>
      <c r="D47" s="354"/>
      <c r="E47" s="354"/>
      <c r="F47" s="354"/>
      <c r="G47" s="355"/>
      <c r="H47" s="345"/>
      <c r="I47" s="346"/>
      <c r="J47" s="346"/>
      <c r="K47" s="346"/>
      <c r="L47" s="346"/>
      <c r="M47" s="346"/>
      <c r="N47" s="346"/>
      <c r="O47" s="346"/>
      <c r="P47" s="346"/>
      <c r="Q47" s="347"/>
      <c r="R47" s="74"/>
      <c r="S47" s="69" t="s">
        <v>156</v>
      </c>
      <c r="T47" s="62" t="str">
        <f>IF(S47=" ","",IF(S47="N/A","",IF(S47=2,"Green Grün",IF(S47=1,"Yellow Gelb",IF(S47=0,"Red Rot")))))</f>
        <v/>
      </c>
    </row>
    <row r="48" spans="1:20" ht="5.25" customHeight="1" x14ac:dyDescent="0.25">
      <c r="A48" s="127"/>
      <c r="B48" s="132"/>
      <c r="C48" s="84"/>
      <c r="D48" s="84"/>
      <c r="E48" s="84"/>
      <c r="F48" s="84"/>
      <c r="G48" s="85"/>
      <c r="H48" s="348"/>
      <c r="I48" s="349"/>
      <c r="J48" s="349"/>
      <c r="K48" s="349"/>
      <c r="L48" s="349"/>
      <c r="M48" s="349"/>
      <c r="N48" s="349"/>
      <c r="O48" s="349"/>
      <c r="P48" s="349"/>
      <c r="Q48" s="350"/>
      <c r="R48" s="84"/>
      <c r="S48" s="4"/>
      <c r="T48" s="86"/>
    </row>
    <row r="49" spans="1:20" ht="15" customHeight="1" x14ac:dyDescent="0.3">
      <c r="A49" s="118" t="s">
        <v>152</v>
      </c>
      <c r="B49" s="56" t="str">
        <f>VLOOKUP(Vocabularies!B132,Vocabularies!$B$1:$G$358,Vocabularies!$J$2,0)</f>
        <v>Infrastructure</v>
      </c>
      <c r="C49" s="139"/>
      <c r="D49" s="139"/>
      <c r="E49" s="139"/>
      <c r="F49" s="139"/>
      <c r="G49" s="140"/>
      <c r="H49" s="351" t="str">
        <f>VLOOKUP(Vocabularies!B111,Vocabularies!$B$1:$G$358,Vocabularies!$J$2,0)</f>
        <v>Comments (in case of answers „&lt;2 or N/A“)</v>
      </c>
      <c r="I49" s="352"/>
      <c r="J49" s="352"/>
      <c r="K49" s="352"/>
      <c r="L49" s="352"/>
      <c r="M49" s="352"/>
      <c r="N49" s="352"/>
      <c r="O49" s="352"/>
      <c r="P49" s="352"/>
      <c r="Q49" s="353"/>
      <c r="R49" s="381" t="str">
        <f>VLOOKUP(Vocabularies!B4,Vocabularies!$B$1:$G$358,Vocabularies!$J$2,0)</f>
        <v>Assessment</v>
      </c>
      <c r="S49" s="382"/>
      <c r="T49" s="383"/>
    </row>
    <row r="50" spans="1:20" ht="4.5" customHeight="1" x14ac:dyDescent="0.25">
      <c r="A50" s="121"/>
      <c r="B50" s="122"/>
      <c r="C50" s="55"/>
      <c r="D50" s="124"/>
      <c r="E50" s="124"/>
      <c r="F50" s="124"/>
      <c r="G50" s="125"/>
      <c r="H50" s="342"/>
      <c r="I50" s="343"/>
      <c r="J50" s="343"/>
      <c r="K50" s="343"/>
      <c r="L50" s="343"/>
      <c r="M50" s="343"/>
      <c r="N50" s="343"/>
      <c r="O50" s="343"/>
      <c r="P50" s="343"/>
      <c r="Q50" s="344"/>
      <c r="R50" s="3"/>
      <c r="T50" s="62"/>
    </row>
    <row r="51" spans="1:20" ht="50.1" customHeight="1" x14ac:dyDescent="0.25">
      <c r="A51" s="121"/>
      <c r="B51" s="126" t="str">
        <f>"4.1"</f>
        <v>4.1</v>
      </c>
      <c r="C51" s="354" t="str">
        <f>VLOOKUP(Vocabularies!B133,Vocabularies!$B$1:$G$358,Vocabularies!$J$2,0)</f>
        <v>Do you have emergency plans in order to ensure the satisfaction of customer requirements in the event of an emergency such as interruption of power and energy, labour shortage, loss of production means and field complaints?</v>
      </c>
      <c r="D51" s="354"/>
      <c r="E51" s="354"/>
      <c r="F51" s="354"/>
      <c r="G51" s="355"/>
      <c r="H51" s="345"/>
      <c r="I51" s="346"/>
      <c r="J51" s="346"/>
      <c r="K51" s="346"/>
      <c r="L51" s="346"/>
      <c r="M51" s="346"/>
      <c r="N51" s="346"/>
      <c r="O51" s="346"/>
      <c r="P51" s="346"/>
      <c r="Q51" s="347"/>
      <c r="R51" s="74"/>
      <c r="S51" s="69" t="s">
        <v>156</v>
      </c>
      <c r="T51" s="62" t="str">
        <f>IF(S51=" ","",IF(S51="N/A","",IF(S51=2,"Green Grün",IF(S51=1,"Yellow Gelb",IF(S51=0,"Red Rot")))))</f>
        <v/>
      </c>
    </row>
    <row r="52" spans="1:20" ht="4.5" customHeight="1" x14ac:dyDescent="0.25">
      <c r="A52" s="127"/>
      <c r="B52" s="132"/>
      <c r="C52" s="146"/>
      <c r="D52" s="146"/>
      <c r="E52" s="146"/>
      <c r="F52" s="146"/>
      <c r="G52" s="147"/>
      <c r="H52" s="348"/>
      <c r="I52" s="349"/>
      <c r="J52" s="349"/>
      <c r="K52" s="349"/>
      <c r="L52" s="349"/>
      <c r="M52" s="349"/>
      <c r="N52" s="349"/>
      <c r="O52" s="349"/>
      <c r="P52" s="349"/>
      <c r="Q52" s="350"/>
      <c r="R52" s="70"/>
      <c r="S52" s="4"/>
      <c r="T52" s="64"/>
    </row>
    <row r="53" spans="1:20" ht="4.5" customHeight="1" x14ac:dyDescent="0.25">
      <c r="A53" s="121"/>
      <c r="B53" s="122"/>
      <c r="C53" s="55"/>
      <c r="D53" s="124"/>
      <c r="E53" s="124"/>
      <c r="F53" s="124"/>
      <c r="G53" s="125"/>
      <c r="H53" s="342"/>
      <c r="I53" s="343"/>
      <c r="J53" s="343"/>
      <c r="K53" s="343"/>
      <c r="L53" s="343"/>
      <c r="M53" s="343"/>
      <c r="N53" s="343"/>
      <c r="O53" s="343"/>
      <c r="P53" s="343"/>
      <c r="Q53" s="344"/>
      <c r="R53" s="3"/>
      <c r="T53" s="62"/>
    </row>
    <row r="54" spans="1:20" ht="50.1" customHeight="1" x14ac:dyDescent="0.25">
      <c r="A54" s="121"/>
      <c r="B54" s="126" t="str">
        <f>"4.2"</f>
        <v>4.2</v>
      </c>
      <c r="C54" s="354" t="str">
        <f>VLOOKUP(Vocabularies!B134,Vocabularies!$B$1:$G$358,Vocabularies!$J$2,0)</f>
        <v>Are all areas of the company kept neat and orderly?</v>
      </c>
      <c r="D54" s="354"/>
      <c r="E54" s="354"/>
      <c r="F54" s="354"/>
      <c r="G54" s="355"/>
      <c r="H54" s="345"/>
      <c r="I54" s="346"/>
      <c r="J54" s="346"/>
      <c r="K54" s="346"/>
      <c r="L54" s="346"/>
      <c r="M54" s="346"/>
      <c r="N54" s="346"/>
      <c r="O54" s="346"/>
      <c r="P54" s="346"/>
      <c r="Q54" s="347"/>
      <c r="R54" s="74"/>
      <c r="S54" s="69" t="s">
        <v>156</v>
      </c>
      <c r="T54" s="62" t="str">
        <f>IF(S54=" ","",IF(S54="N/A","",IF(S54=2,"Green Grün",IF(S54=1,"Yellow Gelb",IF(S54=0,"Red Rot")))))</f>
        <v/>
      </c>
    </row>
    <row r="55" spans="1:20" ht="4.5" customHeight="1" x14ac:dyDescent="0.25">
      <c r="A55" s="127"/>
      <c r="B55" s="132"/>
      <c r="C55" s="146"/>
      <c r="D55" s="146"/>
      <c r="E55" s="146"/>
      <c r="F55" s="146"/>
      <c r="G55" s="147"/>
      <c r="H55" s="348"/>
      <c r="I55" s="349"/>
      <c r="J55" s="349"/>
      <c r="K55" s="349"/>
      <c r="L55" s="349"/>
      <c r="M55" s="349"/>
      <c r="N55" s="349"/>
      <c r="O55" s="349"/>
      <c r="P55" s="349"/>
      <c r="Q55" s="350"/>
      <c r="R55" s="70"/>
      <c r="S55" s="4"/>
      <c r="T55" s="64"/>
    </row>
    <row r="56" spans="1:20" ht="4.5" customHeight="1" x14ac:dyDescent="0.25">
      <c r="A56" s="121"/>
      <c r="B56" s="122"/>
      <c r="C56" s="55"/>
      <c r="D56" s="124"/>
      <c r="E56" s="124"/>
      <c r="F56" s="124"/>
      <c r="G56" s="125"/>
      <c r="H56" s="342"/>
      <c r="I56" s="343"/>
      <c r="J56" s="343"/>
      <c r="K56" s="343"/>
      <c r="L56" s="343"/>
      <c r="M56" s="343"/>
      <c r="N56" s="343"/>
      <c r="O56" s="343"/>
      <c r="P56" s="343"/>
      <c r="Q56" s="344"/>
      <c r="R56" s="3"/>
      <c r="T56" s="62"/>
    </row>
    <row r="57" spans="1:20" ht="50.1" customHeight="1" x14ac:dyDescent="0.25">
      <c r="A57" s="121"/>
      <c r="B57" s="126" t="str">
        <f>"4.3"</f>
        <v>4.3</v>
      </c>
      <c r="C57" s="354" t="str">
        <f>VLOOKUP(Vocabularies!B135,Vocabularies!$B$1:$G$358,Vocabularies!$J$2,0)</f>
        <v>Are all areas free from things which are not directly necessary for the work?</v>
      </c>
      <c r="D57" s="354"/>
      <c r="E57" s="354"/>
      <c r="F57" s="354"/>
      <c r="G57" s="355"/>
      <c r="H57" s="345"/>
      <c r="I57" s="346"/>
      <c r="J57" s="346"/>
      <c r="K57" s="346"/>
      <c r="L57" s="346"/>
      <c r="M57" s="346"/>
      <c r="N57" s="346"/>
      <c r="O57" s="346"/>
      <c r="P57" s="346"/>
      <c r="Q57" s="347"/>
      <c r="R57" s="74"/>
      <c r="S57" s="69" t="s">
        <v>156</v>
      </c>
      <c r="T57" s="62" t="str">
        <f>IF(S57=" ","",IF(S57="N/A","",IF(S57=2,"Green Grün",IF(S57=1,"Yellow Gelb",IF(S57=0,"Red Rot")))))</f>
        <v/>
      </c>
    </row>
    <row r="58" spans="1:20" ht="4.5" customHeight="1" x14ac:dyDescent="0.25">
      <c r="A58" s="127"/>
      <c r="B58" s="132"/>
      <c r="C58" s="146"/>
      <c r="D58" s="146"/>
      <c r="E58" s="146"/>
      <c r="F58" s="146"/>
      <c r="G58" s="147"/>
      <c r="H58" s="348"/>
      <c r="I58" s="349"/>
      <c r="J58" s="349"/>
      <c r="K58" s="349"/>
      <c r="L58" s="349"/>
      <c r="M58" s="349"/>
      <c r="N58" s="349"/>
      <c r="O58" s="349"/>
      <c r="P58" s="349"/>
      <c r="Q58" s="350"/>
      <c r="R58" s="70"/>
      <c r="S58" s="4"/>
      <c r="T58" s="64"/>
    </row>
    <row r="59" spans="1:20" ht="4.5" customHeight="1" x14ac:dyDescent="0.25">
      <c r="A59" s="121"/>
      <c r="B59" s="122"/>
      <c r="C59" s="55"/>
      <c r="D59" s="124"/>
      <c r="E59" s="124"/>
      <c r="F59" s="124"/>
      <c r="G59" s="125"/>
      <c r="H59" s="342"/>
      <c r="I59" s="343"/>
      <c r="J59" s="343"/>
      <c r="K59" s="343"/>
      <c r="L59" s="343"/>
      <c r="M59" s="343"/>
      <c r="N59" s="343"/>
      <c r="O59" s="343"/>
      <c r="P59" s="343"/>
      <c r="Q59" s="344"/>
      <c r="R59" s="3"/>
      <c r="T59" s="62"/>
    </row>
    <row r="60" spans="1:20" ht="50.1" customHeight="1" x14ac:dyDescent="0.25">
      <c r="A60" s="121"/>
      <c r="B60" s="126" t="str">
        <f>"4.4"</f>
        <v>4.4</v>
      </c>
      <c r="C60" s="354" t="str">
        <f>VLOOKUP(Vocabularies!B136,Vocabularies!$B$1:$G$358,Vocabularies!$J$2,0)</f>
        <v>Is the production planned to minimize the handling and traffic of material?</v>
      </c>
      <c r="D60" s="354"/>
      <c r="E60" s="354"/>
      <c r="F60" s="354"/>
      <c r="G60" s="355"/>
      <c r="H60" s="345"/>
      <c r="I60" s="346"/>
      <c r="J60" s="346"/>
      <c r="K60" s="346"/>
      <c r="L60" s="346"/>
      <c r="M60" s="346"/>
      <c r="N60" s="346"/>
      <c r="O60" s="346"/>
      <c r="P60" s="346"/>
      <c r="Q60" s="347"/>
      <c r="R60" s="74"/>
      <c r="S60" s="69" t="s">
        <v>156</v>
      </c>
      <c r="T60" s="62" t="str">
        <f>IF(S60=" ","",IF(S60="N/A","",IF(S60=2,"Green Grün",IF(S60=1,"Yellow Gelb",IF(S60=0,"Red Rot")))))</f>
        <v/>
      </c>
    </row>
    <row r="61" spans="1:20" ht="4.5" customHeight="1" x14ac:dyDescent="0.25">
      <c r="A61" s="127"/>
      <c r="B61" s="132"/>
      <c r="C61" s="146"/>
      <c r="D61" s="146"/>
      <c r="E61" s="146"/>
      <c r="F61" s="146"/>
      <c r="G61" s="147"/>
      <c r="H61" s="348"/>
      <c r="I61" s="349"/>
      <c r="J61" s="349"/>
      <c r="K61" s="349"/>
      <c r="L61" s="349"/>
      <c r="M61" s="349"/>
      <c r="N61" s="349"/>
      <c r="O61" s="349"/>
      <c r="P61" s="349"/>
      <c r="Q61" s="350"/>
      <c r="R61" s="70"/>
      <c r="S61" s="4"/>
      <c r="T61" s="64"/>
    </row>
    <row r="62" spans="1:20" ht="15" customHeight="1" x14ac:dyDescent="0.3">
      <c r="A62" s="118" t="s">
        <v>153</v>
      </c>
      <c r="B62" s="56" t="str">
        <f>VLOOKUP(Vocabularies!B137,Vocabularies!$B$1:$G$358,Vocabularies!$J$2,0)</f>
        <v xml:space="preserve">Planning of product realization </v>
      </c>
      <c r="C62" s="139"/>
      <c r="D62" s="139"/>
      <c r="E62" s="139"/>
      <c r="F62" s="139"/>
      <c r="G62" s="140"/>
      <c r="H62" s="351" t="str">
        <f>VLOOKUP(Vocabularies!B111,Vocabularies!$B$1:$G$358,Vocabularies!$J$2,0)</f>
        <v>Comments (in case of answers „&lt;2 or N/A“)</v>
      </c>
      <c r="I62" s="352"/>
      <c r="J62" s="352"/>
      <c r="K62" s="352"/>
      <c r="L62" s="352"/>
      <c r="M62" s="352"/>
      <c r="N62" s="352"/>
      <c r="O62" s="352"/>
      <c r="P62" s="352"/>
      <c r="Q62" s="353"/>
      <c r="R62" s="381" t="str">
        <f>VLOOKUP(Vocabularies!B4,Vocabularies!$B$1:$G$358,Vocabularies!$J$2,0)</f>
        <v>Assessment</v>
      </c>
      <c r="S62" s="382"/>
      <c r="T62" s="383"/>
    </row>
    <row r="63" spans="1:20" ht="4.95" customHeight="1" x14ac:dyDescent="0.25">
      <c r="A63" s="88"/>
      <c r="B63" s="124"/>
      <c r="C63" s="124"/>
      <c r="D63" s="124"/>
      <c r="E63" s="124"/>
      <c r="F63" s="124"/>
      <c r="G63" s="125"/>
      <c r="H63" s="342"/>
      <c r="I63" s="343"/>
      <c r="J63" s="343"/>
      <c r="K63" s="343"/>
      <c r="L63" s="343"/>
      <c r="M63" s="343"/>
      <c r="N63" s="343"/>
      <c r="O63" s="343"/>
      <c r="P63" s="343"/>
      <c r="Q63" s="344"/>
      <c r="R63" s="3"/>
      <c r="S63" s="3"/>
      <c r="T63" s="6"/>
    </row>
    <row r="64" spans="1:20" ht="50.1" customHeight="1" x14ac:dyDescent="0.25">
      <c r="A64" s="88"/>
      <c r="B64" s="126" t="str">
        <f>"5.1"</f>
        <v>5.1</v>
      </c>
      <c r="C64" s="354" t="str">
        <f>VLOOKUP(Vocabularies!B138,Vocabularies!$B$1:$G$358,Vocabularies!$J$2,0)</f>
        <v>Can you ensure the confidentiality of customer-contracted products, projects under development and related product information?</v>
      </c>
      <c r="D64" s="354"/>
      <c r="E64" s="354"/>
      <c r="F64" s="354"/>
      <c r="G64" s="355"/>
      <c r="H64" s="345"/>
      <c r="I64" s="346"/>
      <c r="J64" s="346"/>
      <c r="K64" s="346"/>
      <c r="L64" s="346"/>
      <c r="M64" s="346"/>
      <c r="N64" s="346"/>
      <c r="O64" s="346"/>
      <c r="P64" s="346"/>
      <c r="Q64" s="347"/>
      <c r="R64" s="74"/>
      <c r="S64" s="69" t="s">
        <v>156</v>
      </c>
      <c r="T64" s="62" t="str">
        <f>IF(S64=" ","",IF(S64="N/A","",IF(S64=2,"Green Grün",IF(S64=1,"Yellow Gelb",IF(S64=0,"Red Rot")))))</f>
        <v/>
      </c>
    </row>
    <row r="65" spans="1:21" ht="4.95" customHeight="1" x14ac:dyDescent="0.25">
      <c r="A65" s="148"/>
      <c r="B65" s="132"/>
      <c r="C65" s="63"/>
      <c r="D65" s="130"/>
      <c r="E65" s="130"/>
      <c r="F65" s="130"/>
      <c r="G65" s="131"/>
      <c r="H65" s="348"/>
      <c r="I65" s="349"/>
      <c r="J65" s="349"/>
      <c r="K65" s="349"/>
      <c r="L65" s="349"/>
      <c r="M65" s="349"/>
      <c r="N65" s="349"/>
      <c r="O65" s="349"/>
      <c r="P65" s="349"/>
      <c r="Q65" s="350"/>
      <c r="R65" s="4"/>
      <c r="S65" s="4"/>
      <c r="T65" s="7"/>
    </row>
    <row r="66" spans="1:21" ht="15" customHeight="1" x14ac:dyDescent="0.3">
      <c r="A66" s="118" t="s">
        <v>154</v>
      </c>
      <c r="B66" s="56" t="str">
        <f>VLOOKUP(Vocabularies!B139,Vocabularies!$B$1:$G$358,Vocabularies!$J$2,0)</f>
        <v>Customer related processes</v>
      </c>
      <c r="C66" s="139"/>
      <c r="D66" s="139"/>
      <c r="E66" s="139"/>
      <c r="F66" s="139"/>
      <c r="G66" s="140"/>
      <c r="H66" s="351" t="str">
        <f>VLOOKUP(Vocabularies!B111,Vocabularies!$B$1:$G$358,Vocabularies!$J$2,0)</f>
        <v>Comments (in case of answers „&lt;2 or N/A“)</v>
      </c>
      <c r="I66" s="352"/>
      <c r="J66" s="352"/>
      <c r="K66" s="352"/>
      <c r="L66" s="352"/>
      <c r="M66" s="352"/>
      <c r="N66" s="352"/>
      <c r="O66" s="352"/>
      <c r="P66" s="352"/>
      <c r="Q66" s="353"/>
      <c r="R66" s="381" t="str">
        <f>VLOOKUP(Vocabularies!B4,Vocabularies!$B$1:$G$358,Vocabularies!$J$2,0)</f>
        <v>Assessment</v>
      </c>
      <c r="S66" s="382"/>
      <c r="T66" s="383"/>
    </row>
    <row r="67" spans="1:21" ht="4.95" customHeight="1" x14ac:dyDescent="0.25">
      <c r="A67" s="88"/>
      <c r="B67" s="124"/>
      <c r="C67" s="124"/>
      <c r="D67" s="124"/>
      <c r="E67" s="124"/>
      <c r="F67" s="124"/>
      <c r="G67" s="125"/>
      <c r="H67" s="342"/>
      <c r="I67" s="343"/>
      <c r="J67" s="343"/>
      <c r="K67" s="343"/>
      <c r="L67" s="343"/>
      <c r="M67" s="343"/>
      <c r="N67" s="343"/>
      <c r="O67" s="343"/>
      <c r="P67" s="343"/>
      <c r="Q67" s="344"/>
      <c r="R67" s="3"/>
      <c r="S67" s="3"/>
      <c r="T67" s="6"/>
    </row>
    <row r="68" spans="1:21" ht="50.1" customHeight="1" x14ac:dyDescent="0.25">
      <c r="A68" s="88"/>
      <c r="B68" s="126" t="str">
        <f>"6.1"</f>
        <v>6.1</v>
      </c>
      <c r="C68" s="354" t="str">
        <f>VLOOKUP(Vocabularies!B140,Vocabularies!$B$1:$G$358,Vocabularies!$J$2,0)</f>
        <v>Do you have a system to manage and to preserve documents provided by the customer?</v>
      </c>
      <c r="D68" s="354"/>
      <c r="E68" s="354"/>
      <c r="F68" s="354"/>
      <c r="G68" s="355"/>
      <c r="H68" s="345"/>
      <c r="I68" s="346"/>
      <c r="J68" s="346"/>
      <c r="K68" s="346"/>
      <c r="L68" s="346"/>
      <c r="M68" s="346"/>
      <c r="N68" s="346"/>
      <c r="O68" s="346"/>
      <c r="P68" s="346"/>
      <c r="Q68" s="347"/>
      <c r="R68" s="74"/>
      <c r="S68" s="69" t="s">
        <v>156</v>
      </c>
      <c r="T68" s="62" t="str">
        <f>IF(S68=" ","",IF(S68="N/A","",IF(S68=2,"Green Grün",IF(S68=1,"Yellow Gelb",IF(S68=0,"Red Rot")))))</f>
        <v/>
      </c>
    </row>
    <row r="69" spans="1:21" ht="4.95" customHeight="1" x14ac:dyDescent="0.25">
      <c r="A69" s="148"/>
      <c r="B69" s="132"/>
      <c r="C69" s="63"/>
      <c r="D69" s="130"/>
      <c r="E69" s="130"/>
      <c r="F69" s="130"/>
      <c r="G69" s="131"/>
      <c r="H69" s="348"/>
      <c r="I69" s="349"/>
      <c r="J69" s="349"/>
      <c r="K69" s="349"/>
      <c r="L69" s="349"/>
      <c r="M69" s="349"/>
      <c r="N69" s="349"/>
      <c r="O69" s="349"/>
      <c r="P69" s="349"/>
      <c r="Q69" s="350"/>
      <c r="R69" s="4"/>
      <c r="S69" s="4"/>
      <c r="T69" s="7"/>
    </row>
    <row r="70" spans="1:21" ht="4.95" customHeight="1" x14ac:dyDescent="0.25">
      <c r="A70" s="88"/>
      <c r="B70" s="122"/>
      <c r="C70" s="55"/>
      <c r="D70" s="124"/>
      <c r="E70" s="124"/>
      <c r="F70" s="124"/>
      <c r="G70" s="125"/>
      <c r="H70" s="342"/>
      <c r="I70" s="343"/>
      <c r="J70" s="343"/>
      <c r="K70" s="343"/>
      <c r="L70" s="343"/>
      <c r="M70" s="343"/>
      <c r="N70" s="343"/>
      <c r="O70" s="343"/>
      <c r="P70" s="343"/>
      <c r="Q70" s="344"/>
      <c r="R70" s="3"/>
      <c r="S70" s="3"/>
      <c r="T70" s="6"/>
    </row>
    <row r="71" spans="1:21" ht="50.1" customHeight="1" x14ac:dyDescent="0.25">
      <c r="A71" s="88"/>
      <c r="B71" s="126" t="str">
        <f>"6.2"</f>
        <v>6.2</v>
      </c>
      <c r="C71" s="354" t="str">
        <f>VLOOKUP(Vocabularies!B141,Vocabularies!$B$1:$G$358,Vocabularies!$J$2,0)</f>
        <v>Are customer requirements documented and communicated in the company?</v>
      </c>
      <c r="D71" s="354"/>
      <c r="E71" s="354"/>
      <c r="F71" s="354"/>
      <c r="G71" s="355"/>
      <c r="H71" s="345"/>
      <c r="I71" s="346"/>
      <c r="J71" s="346"/>
      <c r="K71" s="346"/>
      <c r="L71" s="346"/>
      <c r="M71" s="346"/>
      <c r="N71" s="346"/>
      <c r="O71" s="346"/>
      <c r="P71" s="346"/>
      <c r="Q71" s="347"/>
      <c r="R71" s="74"/>
      <c r="S71" s="69" t="s">
        <v>156</v>
      </c>
      <c r="T71" s="62" t="str">
        <f>IF(S71=" ","",IF(S71="N/A","",IF(S71=2,"Green Grün",IF(S71=1,"Yellow Gelb",IF(S71=0,"Red Rot")))))</f>
        <v/>
      </c>
    </row>
    <row r="72" spans="1:21" ht="4.95" customHeight="1" x14ac:dyDescent="0.25">
      <c r="A72" s="148"/>
      <c r="B72" s="132"/>
      <c r="C72" s="63"/>
      <c r="D72" s="130"/>
      <c r="E72" s="130"/>
      <c r="F72" s="130"/>
      <c r="G72" s="131"/>
      <c r="H72" s="348"/>
      <c r="I72" s="349"/>
      <c r="J72" s="349"/>
      <c r="K72" s="349"/>
      <c r="L72" s="349"/>
      <c r="M72" s="349"/>
      <c r="N72" s="349"/>
      <c r="O72" s="349"/>
      <c r="P72" s="349"/>
      <c r="Q72" s="350"/>
      <c r="R72" s="4"/>
      <c r="S72" s="4"/>
      <c r="T72" s="7"/>
    </row>
    <row r="73" spans="1:21" ht="4.95" customHeight="1" x14ac:dyDescent="0.25">
      <c r="A73" s="88"/>
      <c r="B73" s="122"/>
      <c r="C73" s="145"/>
      <c r="D73" s="124"/>
      <c r="E73" s="124"/>
      <c r="F73" s="124"/>
      <c r="G73" s="125"/>
      <c r="H73" s="342"/>
      <c r="I73" s="343"/>
      <c r="J73" s="343"/>
      <c r="K73" s="343"/>
      <c r="L73" s="343"/>
      <c r="M73" s="343"/>
      <c r="N73" s="343"/>
      <c r="O73" s="343"/>
      <c r="P73" s="343"/>
      <c r="Q73" s="344"/>
      <c r="R73" s="3"/>
      <c r="S73" s="3"/>
      <c r="T73" s="6"/>
      <c r="U73" s="28">
        <v>1</v>
      </c>
    </row>
    <row r="74" spans="1:21" ht="50.1" customHeight="1" x14ac:dyDescent="0.25">
      <c r="A74" s="88"/>
      <c r="B74" s="126" t="str">
        <f>"6.3"</f>
        <v>6.3</v>
      </c>
      <c r="C74" s="354" t="str">
        <f>VLOOKUP(Vocabularies!B142,Vocabularies!$B$1:$G$358,Vocabularies!$J$2,0)</f>
        <v>Do you have a formal system for the review and acceptance of contracts or orders?</v>
      </c>
      <c r="D74" s="354"/>
      <c r="E74" s="354"/>
      <c r="F74" s="354"/>
      <c r="G74" s="355"/>
      <c r="H74" s="345"/>
      <c r="I74" s="346"/>
      <c r="J74" s="346"/>
      <c r="K74" s="346"/>
      <c r="L74" s="346"/>
      <c r="M74" s="346"/>
      <c r="N74" s="346"/>
      <c r="O74" s="346"/>
      <c r="P74" s="346"/>
      <c r="Q74" s="347"/>
      <c r="R74" s="74"/>
      <c r="S74" s="69" t="s">
        <v>156</v>
      </c>
      <c r="T74" s="62" t="str">
        <f>IF(S74=" ","",IF(S74="N/A","",IF(S74=2,"Green Grün",IF(S74=1,"Yellow Gelb",IF(S74=0,"Red Rot")))))</f>
        <v/>
      </c>
    </row>
    <row r="75" spans="1:21" ht="4.95" customHeight="1" x14ac:dyDescent="0.25">
      <c r="A75" s="148"/>
      <c r="B75" s="132"/>
      <c r="C75" s="63"/>
      <c r="D75" s="130"/>
      <c r="E75" s="130"/>
      <c r="F75" s="130"/>
      <c r="G75" s="131"/>
      <c r="H75" s="348"/>
      <c r="I75" s="349"/>
      <c r="J75" s="349"/>
      <c r="K75" s="349"/>
      <c r="L75" s="349"/>
      <c r="M75" s="349"/>
      <c r="N75" s="349"/>
      <c r="O75" s="349"/>
      <c r="P75" s="349"/>
      <c r="Q75" s="350"/>
      <c r="R75" s="4"/>
      <c r="S75" s="13"/>
      <c r="T75" s="7"/>
    </row>
    <row r="76" spans="1:21" ht="4.5" customHeight="1" x14ac:dyDescent="0.25">
      <c r="A76" s="88"/>
      <c r="B76" s="124"/>
      <c r="C76" s="124"/>
      <c r="D76" s="124"/>
      <c r="E76" s="124"/>
      <c r="F76" s="124"/>
      <c r="G76" s="125"/>
      <c r="H76" s="342"/>
      <c r="I76" s="343"/>
      <c r="J76" s="343"/>
      <c r="K76" s="343"/>
      <c r="L76" s="343"/>
      <c r="M76" s="343"/>
      <c r="N76" s="343"/>
      <c r="O76" s="343"/>
      <c r="P76" s="343"/>
      <c r="Q76" s="344"/>
      <c r="R76" s="3"/>
      <c r="S76" s="3"/>
      <c r="T76" s="6"/>
    </row>
    <row r="77" spans="1:21" ht="50.1" customHeight="1" x14ac:dyDescent="0.25">
      <c r="A77" s="88"/>
      <c r="B77" s="126" t="str">
        <f>"6.4"</f>
        <v>6.4</v>
      </c>
      <c r="C77" s="354" t="str">
        <f>VLOOKUP(Vocabularies!B143,Vocabularies!$B$1:$G$358,Vocabularies!$J$2,0)</f>
        <v xml:space="preserve">Are you able to exchange with KB electronic information about, Development-, Contracts-Data, Reports, etc.?
</v>
      </c>
      <c r="D77" s="354"/>
      <c r="E77" s="354"/>
      <c r="F77" s="354"/>
      <c r="G77" s="355"/>
      <c r="H77" s="345"/>
      <c r="I77" s="346"/>
      <c r="J77" s="346"/>
      <c r="K77" s="346"/>
      <c r="L77" s="346"/>
      <c r="M77" s="346"/>
      <c r="N77" s="346"/>
      <c r="O77" s="346"/>
      <c r="P77" s="346"/>
      <c r="Q77" s="347"/>
      <c r="R77" s="74"/>
      <c r="S77" s="69" t="s">
        <v>156</v>
      </c>
      <c r="T77" s="62" t="str">
        <f>IF(S77=" ","",IF(S77="N/A","",IF(S77=2,"Green Grün",IF(S77=1,"Yellow Gelb",IF(S77=0,"Red Rot")))))</f>
        <v/>
      </c>
    </row>
    <row r="78" spans="1:21" ht="4.5" customHeight="1" x14ac:dyDescent="0.25">
      <c r="A78" s="148"/>
      <c r="B78" s="132"/>
      <c r="C78" s="146"/>
      <c r="D78" s="146"/>
      <c r="E78" s="146"/>
      <c r="F78" s="146"/>
      <c r="G78" s="147"/>
      <c r="H78" s="348"/>
      <c r="I78" s="349"/>
      <c r="J78" s="349"/>
      <c r="K78" s="349"/>
      <c r="L78" s="349"/>
      <c r="M78" s="349"/>
      <c r="N78" s="349"/>
      <c r="O78" s="349"/>
      <c r="P78" s="349"/>
      <c r="Q78" s="350"/>
      <c r="R78" s="70"/>
      <c r="S78" s="4"/>
      <c r="T78" s="64"/>
    </row>
    <row r="79" spans="1:21" ht="17.399999999999999" x14ac:dyDescent="0.3">
      <c r="A79" s="118" t="s">
        <v>97</v>
      </c>
      <c r="B79" s="56" t="str">
        <f>VLOOKUP(Vocabularies!B144,Vocabularies!$B$1:$G$358,Vocabularies!$J$2,0)</f>
        <v>Development</v>
      </c>
      <c r="C79" s="139"/>
      <c r="D79" s="139"/>
      <c r="E79" s="139"/>
      <c r="F79" s="139"/>
      <c r="G79" s="140"/>
      <c r="H79" s="351" t="str">
        <f>VLOOKUP(Vocabularies!B111,Vocabularies!$B$1:$G$358,Vocabularies!$J$2,0)</f>
        <v>Comments (in case of answers „&lt;2 or N/A“)</v>
      </c>
      <c r="I79" s="352"/>
      <c r="J79" s="352"/>
      <c r="K79" s="352"/>
      <c r="L79" s="352"/>
      <c r="M79" s="352"/>
      <c r="N79" s="352"/>
      <c r="O79" s="352"/>
      <c r="P79" s="352"/>
      <c r="Q79" s="353"/>
      <c r="R79" s="381" t="str">
        <f>VLOOKUP(Vocabularies!B4,Vocabularies!$B$1:$G$358,Vocabularies!$J$2,0)</f>
        <v>Assessment</v>
      </c>
      <c r="S79" s="382"/>
      <c r="T79" s="383"/>
    </row>
    <row r="80" spans="1:21" ht="5.25" customHeight="1" x14ac:dyDescent="0.25">
      <c r="A80" s="88"/>
      <c r="B80" s="124"/>
      <c r="C80" s="124"/>
      <c r="D80" s="124"/>
      <c r="E80" s="124"/>
      <c r="F80" s="124"/>
      <c r="G80" s="125"/>
      <c r="H80" s="342"/>
      <c r="I80" s="343"/>
      <c r="J80" s="343"/>
      <c r="K80" s="343"/>
      <c r="L80" s="343"/>
      <c r="M80" s="343"/>
      <c r="N80" s="343"/>
      <c r="O80" s="343"/>
      <c r="P80" s="343"/>
      <c r="Q80" s="344"/>
      <c r="R80" s="3"/>
      <c r="S80" s="3"/>
      <c r="T80" s="6"/>
    </row>
    <row r="81" spans="1:20" ht="50.1" customHeight="1" x14ac:dyDescent="0.25">
      <c r="A81" s="88"/>
      <c r="B81" s="126" t="str">
        <f>"7.1"</f>
        <v>7.1</v>
      </c>
      <c r="C81" s="354" t="str">
        <f>VLOOKUP(Vocabularies!B145,Vocabularies!$B$1:$G$358,Vocabularies!$J$2,0)</f>
        <v>Do you have sufficient qualified and competent resources for development?</v>
      </c>
      <c r="D81" s="354"/>
      <c r="E81" s="354"/>
      <c r="F81" s="354"/>
      <c r="G81" s="355"/>
      <c r="H81" s="345"/>
      <c r="I81" s="346"/>
      <c r="J81" s="346"/>
      <c r="K81" s="346"/>
      <c r="L81" s="346"/>
      <c r="M81" s="346"/>
      <c r="N81" s="346"/>
      <c r="O81" s="346"/>
      <c r="P81" s="346"/>
      <c r="Q81" s="347"/>
      <c r="R81" s="74"/>
      <c r="S81" s="69" t="s">
        <v>156</v>
      </c>
      <c r="T81" s="62" t="str">
        <f>IF(S81=" ","",IF(S81="N/A","",IF(S81=2,"Green Grün",IF(S81=1,"Yellow Gelb",IF(S81=0,"Red Rot")))))</f>
        <v/>
      </c>
    </row>
    <row r="82" spans="1:20" ht="5.25" customHeight="1" x14ac:dyDescent="0.25">
      <c r="A82" s="148"/>
      <c r="B82" s="132"/>
      <c r="C82" s="63"/>
      <c r="D82" s="130"/>
      <c r="E82" s="130"/>
      <c r="F82" s="130"/>
      <c r="G82" s="131"/>
      <c r="H82" s="348"/>
      <c r="I82" s="349"/>
      <c r="J82" s="349"/>
      <c r="K82" s="349"/>
      <c r="L82" s="349"/>
      <c r="M82" s="349"/>
      <c r="N82" s="349"/>
      <c r="O82" s="349"/>
      <c r="P82" s="349"/>
      <c r="Q82" s="350"/>
      <c r="R82" s="4"/>
      <c r="S82" s="4"/>
      <c r="T82" s="7"/>
    </row>
    <row r="83" spans="1:20" ht="5.25" customHeight="1" x14ac:dyDescent="0.25">
      <c r="A83" s="88"/>
      <c r="B83" s="122"/>
      <c r="C83" s="55"/>
      <c r="D83" s="124"/>
      <c r="E83" s="124"/>
      <c r="F83" s="124"/>
      <c r="G83" s="125"/>
      <c r="H83" s="342"/>
      <c r="I83" s="343"/>
      <c r="J83" s="343"/>
      <c r="K83" s="343"/>
      <c r="L83" s="343"/>
      <c r="M83" s="343"/>
      <c r="N83" s="343"/>
      <c r="O83" s="343"/>
      <c r="P83" s="343"/>
      <c r="Q83" s="344"/>
      <c r="R83" s="3"/>
      <c r="S83" s="3"/>
      <c r="T83" s="6"/>
    </row>
    <row r="84" spans="1:20" ht="50.1" customHeight="1" x14ac:dyDescent="0.25">
      <c r="A84" s="88"/>
      <c r="B84" s="126" t="str">
        <f>"7.2"</f>
        <v>7.2</v>
      </c>
      <c r="C84" s="354" t="str">
        <f>VLOOKUP(Vocabularies!B146,Vocabularies!$B$1:$G$358,Vocabularies!$J$2,0)</f>
        <v>Do you determine for each development project goals for product quality, lifetime, reliability, durability, servicing, timing and costs and are these controlled?</v>
      </c>
      <c r="D84" s="354"/>
      <c r="E84" s="354"/>
      <c r="F84" s="354"/>
      <c r="G84" s="355"/>
      <c r="H84" s="345"/>
      <c r="I84" s="346"/>
      <c r="J84" s="346"/>
      <c r="K84" s="346"/>
      <c r="L84" s="346"/>
      <c r="M84" s="346"/>
      <c r="N84" s="346"/>
      <c r="O84" s="346"/>
      <c r="P84" s="346"/>
      <c r="Q84" s="347"/>
      <c r="R84" s="74"/>
      <c r="S84" s="69" t="s">
        <v>156</v>
      </c>
      <c r="T84" s="62" t="str">
        <f>IF(S84=" ","",IF(S84="N/A","",IF(S84=2,"Green Grün",IF(S84=1,"Yellow Gelb",IF(S84=0,"Red Rot")))))</f>
        <v/>
      </c>
    </row>
    <row r="85" spans="1:20" ht="5.25" customHeight="1" x14ac:dyDescent="0.25">
      <c r="A85" s="148"/>
      <c r="B85" s="132"/>
      <c r="C85" s="63"/>
      <c r="D85" s="130"/>
      <c r="E85" s="130"/>
      <c r="F85" s="130"/>
      <c r="G85" s="131"/>
      <c r="H85" s="348"/>
      <c r="I85" s="349"/>
      <c r="J85" s="349"/>
      <c r="K85" s="349"/>
      <c r="L85" s="349"/>
      <c r="M85" s="349"/>
      <c r="N85" s="349"/>
      <c r="O85" s="349"/>
      <c r="P85" s="349"/>
      <c r="Q85" s="350"/>
      <c r="R85" s="4"/>
      <c r="S85" s="4"/>
      <c r="T85" s="7"/>
    </row>
    <row r="86" spans="1:20" ht="5.25" customHeight="1" x14ac:dyDescent="0.25">
      <c r="A86" s="88"/>
      <c r="B86" s="122"/>
      <c r="C86" s="145"/>
      <c r="D86" s="124"/>
      <c r="E86" s="124"/>
      <c r="F86" s="124"/>
      <c r="G86" s="125"/>
      <c r="H86" s="342"/>
      <c r="I86" s="343"/>
      <c r="J86" s="343"/>
      <c r="K86" s="343"/>
      <c r="L86" s="343"/>
      <c r="M86" s="343"/>
      <c r="N86" s="343"/>
      <c r="O86" s="343"/>
      <c r="P86" s="343"/>
      <c r="Q86" s="344"/>
      <c r="R86" s="3"/>
      <c r="S86" s="3"/>
      <c r="T86" s="6"/>
    </row>
    <row r="87" spans="1:20" ht="50.1" customHeight="1" x14ac:dyDescent="0.25">
      <c r="A87" s="88"/>
      <c r="B87" s="126" t="str">
        <f>"7.3"</f>
        <v>7.3</v>
      </c>
      <c r="C87" s="354" t="str">
        <f>VLOOKUP(Vocabularies!B147,Vocabularies!$B$1:$G$358,Vocabularies!$J$2,0)</f>
        <v>Do you make a review of the design results in the different development stages, before the results are processed and advised to the customer?</v>
      </c>
      <c r="D87" s="354"/>
      <c r="E87" s="354"/>
      <c r="F87" s="354"/>
      <c r="G87" s="355"/>
      <c r="H87" s="345"/>
      <c r="I87" s="346"/>
      <c r="J87" s="346"/>
      <c r="K87" s="346"/>
      <c r="L87" s="346"/>
      <c r="M87" s="346"/>
      <c r="N87" s="346"/>
      <c r="O87" s="346"/>
      <c r="P87" s="346"/>
      <c r="Q87" s="347"/>
      <c r="R87" s="74"/>
      <c r="S87" s="69" t="s">
        <v>156</v>
      </c>
      <c r="T87" s="62" t="str">
        <f>IF(S87=" ","",IF(S87="N/A","",IF(S87=2,"Green Grün",IF(S87=1,"Yellow Gelb",IF(S87=0,"Red Rot")))))</f>
        <v/>
      </c>
    </row>
    <row r="88" spans="1:20" ht="5.25" customHeight="1" x14ac:dyDescent="0.25">
      <c r="A88" s="148"/>
      <c r="B88" s="132"/>
      <c r="C88" s="63"/>
      <c r="D88" s="130"/>
      <c r="E88" s="130"/>
      <c r="F88" s="130"/>
      <c r="G88" s="131"/>
      <c r="H88" s="348"/>
      <c r="I88" s="349"/>
      <c r="J88" s="349"/>
      <c r="K88" s="349"/>
      <c r="L88" s="349"/>
      <c r="M88" s="349"/>
      <c r="N88" s="349"/>
      <c r="O88" s="349"/>
      <c r="P88" s="349"/>
      <c r="Q88" s="350"/>
      <c r="R88" s="4"/>
      <c r="S88" s="13"/>
      <c r="T88" s="7"/>
    </row>
    <row r="89" spans="1:20" ht="5.25" customHeight="1" x14ac:dyDescent="0.25">
      <c r="A89" s="88"/>
      <c r="B89" s="124"/>
      <c r="C89" s="124"/>
      <c r="D89" s="124"/>
      <c r="E89" s="124"/>
      <c r="F89" s="124"/>
      <c r="G89" s="125"/>
      <c r="H89" s="342"/>
      <c r="I89" s="343"/>
      <c r="J89" s="343"/>
      <c r="K89" s="343"/>
      <c r="L89" s="343"/>
      <c r="M89" s="343"/>
      <c r="N89" s="343"/>
      <c r="O89" s="343"/>
      <c r="P89" s="343"/>
      <c r="Q89" s="344"/>
      <c r="R89" s="3"/>
      <c r="S89" s="3"/>
      <c r="T89" s="6"/>
    </row>
    <row r="90" spans="1:20" ht="50.1" customHeight="1" x14ac:dyDescent="0.25">
      <c r="A90" s="88"/>
      <c r="B90" s="126" t="str">
        <f>"7.4"</f>
        <v>7.4</v>
      </c>
      <c r="C90" s="354" t="str">
        <f>VLOOKUP(Vocabularies!B148,Vocabularies!$B$1:$G$358,Vocabularies!$J$2,0)</f>
        <v>Do you have a robust process for the management of changes by the customer and for changes initiated by yourself?</v>
      </c>
      <c r="D90" s="354"/>
      <c r="E90" s="354"/>
      <c r="F90" s="354"/>
      <c r="G90" s="355"/>
      <c r="H90" s="345"/>
      <c r="I90" s="346"/>
      <c r="J90" s="346"/>
      <c r="K90" s="346"/>
      <c r="L90" s="346"/>
      <c r="M90" s="346"/>
      <c r="N90" s="346"/>
      <c r="O90" s="346"/>
      <c r="P90" s="346"/>
      <c r="Q90" s="347"/>
      <c r="R90" s="74"/>
      <c r="S90" s="69" t="s">
        <v>156</v>
      </c>
      <c r="T90" s="62" t="str">
        <f>IF(S90=" ","",IF(S90="N/A","",IF(S90=2,"Green Grün",IF(S90=1,"Yellow Gelb",IF(S90=0,"Red Rot")))))</f>
        <v/>
      </c>
    </row>
    <row r="91" spans="1:20" ht="5.25" customHeight="1" x14ac:dyDescent="0.25">
      <c r="A91" s="148"/>
      <c r="B91" s="132"/>
      <c r="C91" s="146"/>
      <c r="D91" s="146"/>
      <c r="E91" s="146"/>
      <c r="F91" s="146"/>
      <c r="G91" s="147"/>
      <c r="H91" s="348"/>
      <c r="I91" s="349"/>
      <c r="J91" s="349"/>
      <c r="K91" s="349"/>
      <c r="L91" s="349"/>
      <c r="M91" s="349"/>
      <c r="N91" s="349"/>
      <c r="O91" s="349"/>
      <c r="P91" s="349"/>
      <c r="Q91" s="350"/>
      <c r="R91" s="70"/>
      <c r="S91" s="4"/>
      <c r="T91" s="64"/>
    </row>
    <row r="92" spans="1:20" ht="17.399999999999999" x14ac:dyDescent="0.3">
      <c r="A92" s="118" t="s">
        <v>599</v>
      </c>
      <c r="B92" s="56" t="str">
        <f>VLOOKUP(Vocabularies!B149,Vocabularies!$B$1:$G$358,Vocabularies!$J$2,0)</f>
        <v>Purchasing</v>
      </c>
      <c r="C92" s="139"/>
      <c r="D92" s="139"/>
      <c r="E92" s="139"/>
      <c r="F92" s="139"/>
      <c r="G92" s="140"/>
      <c r="H92" s="351" t="str">
        <f>VLOOKUP(Vocabularies!B111,Vocabularies!$B$1:$G$358,Vocabularies!$J$2,0)</f>
        <v>Comments (in case of answers „&lt;2 or N/A“)</v>
      </c>
      <c r="I92" s="352"/>
      <c r="J92" s="352"/>
      <c r="K92" s="352"/>
      <c r="L92" s="352"/>
      <c r="M92" s="352"/>
      <c r="N92" s="352"/>
      <c r="O92" s="352"/>
      <c r="P92" s="352"/>
      <c r="Q92" s="353"/>
      <c r="R92" s="381" t="str">
        <f>VLOOKUP(Vocabularies!B4,Vocabularies!$B$1:$G$358,Vocabularies!$J$2,0)</f>
        <v>Assessment</v>
      </c>
      <c r="S92" s="382"/>
      <c r="T92" s="383"/>
    </row>
    <row r="93" spans="1:20" ht="5.25" customHeight="1" x14ac:dyDescent="0.25">
      <c r="A93" s="88"/>
      <c r="B93" s="124"/>
      <c r="C93" s="124"/>
      <c r="D93" s="124"/>
      <c r="E93" s="124"/>
      <c r="F93" s="124"/>
      <c r="G93" s="125"/>
      <c r="H93" s="342"/>
      <c r="I93" s="343"/>
      <c r="J93" s="343"/>
      <c r="K93" s="343"/>
      <c r="L93" s="343"/>
      <c r="M93" s="343"/>
      <c r="N93" s="343"/>
      <c r="O93" s="343"/>
      <c r="P93" s="343"/>
      <c r="Q93" s="344"/>
      <c r="R93" s="3"/>
      <c r="S93" s="3"/>
      <c r="T93" s="6"/>
    </row>
    <row r="94" spans="1:20" ht="50.1" customHeight="1" x14ac:dyDescent="0.25">
      <c r="A94" s="88"/>
      <c r="B94" s="126" t="str">
        <f>"8.1"</f>
        <v>8.1</v>
      </c>
      <c r="C94" s="354" t="str">
        <f>VLOOKUP(Vocabularies!B150,Vocabularies!$B$1:$G$358,Vocabularies!$J$2,0)</f>
        <v>Are your suppliers evaluated on a regular basis on their quality performance?</v>
      </c>
      <c r="D94" s="354"/>
      <c r="E94" s="354"/>
      <c r="F94" s="354"/>
      <c r="G94" s="355"/>
      <c r="H94" s="345"/>
      <c r="I94" s="346"/>
      <c r="J94" s="346"/>
      <c r="K94" s="346"/>
      <c r="L94" s="346"/>
      <c r="M94" s="346"/>
      <c r="N94" s="346"/>
      <c r="O94" s="346"/>
      <c r="P94" s="346"/>
      <c r="Q94" s="347"/>
      <c r="R94" s="74"/>
      <c r="S94" s="69" t="s">
        <v>156</v>
      </c>
      <c r="T94" s="62" t="str">
        <f>IF(S94=" ","",IF(S94="N/A","",IF(S94=2,"Green Grün",IF(S94=1,"Yellow Gelb",IF(S94=0,"Red Rot")))))</f>
        <v/>
      </c>
    </row>
    <row r="95" spans="1:20" ht="5.25" customHeight="1" x14ac:dyDescent="0.25">
      <c r="A95" s="148"/>
      <c r="B95" s="132"/>
      <c r="C95" s="63"/>
      <c r="D95" s="130"/>
      <c r="E95" s="130"/>
      <c r="F95" s="130"/>
      <c r="G95" s="131"/>
      <c r="H95" s="348"/>
      <c r="I95" s="349"/>
      <c r="J95" s="349"/>
      <c r="K95" s="349"/>
      <c r="L95" s="349"/>
      <c r="M95" s="349"/>
      <c r="N95" s="349"/>
      <c r="O95" s="349"/>
      <c r="P95" s="349"/>
      <c r="Q95" s="350"/>
      <c r="R95" s="4"/>
      <c r="S95" s="4"/>
      <c r="T95" s="7"/>
    </row>
    <row r="96" spans="1:20" ht="5.25" customHeight="1" x14ac:dyDescent="0.25">
      <c r="A96" s="88"/>
      <c r="B96" s="122"/>
      <c r="C96" s="55"/>
      <c r="D96" s="124"/>
      <c r="E96" s="124"/>
      <c r="F96" s="124"/>
      <c r="G96" s="125"/>
      <c r="H96" s="342"/>
      <c r="I96" s="343"/>
      <c r="J96" s="343"/>
      <c r="K96" s="343"/>
      <c r="L96" s="343"/>
      <c r="M96" s="343"/>
      <c r="N96" s="343"/>
      <c r="O96" s="343"/>
      <c r="P96" s="343"/>
      <c r="Q96" s="344"/>
      <c r="R96" s="3"/>
      <c r="S96" s="3"/>
      <c r="T96" s="6"/>
    </row>
    <row r="97" spans="1:20" ht="50.1" customHeight="1" x14ac:dyDescent="0.25">
      <c r="A97" s="88"/>
      <c r="B97" s="126" t="str">
        <f>"8.2"</f>
        <v>8.2</v>
      </c>
      <c r="C97" s="354" t="str">
        <f>VLOOKUP(Vocabularies!B151,Vocabularies!$B$1:$G$358,Vocabularies!$J$2,0)</f>
        <v>Are there defined criteria for supplier evaluation?</v>
      </c>
      <c r="D97" s="354"/>
      <c r="E97" s="354"/>
      <c r="F97" s="354"/>
      <c r="G97" s="355"/>
      <c r="H97" s="345"/>
      <c r="I97" s="346"/>
      <c r="J97" s="346"/>
      <c r="K97" s="346"/>
      <c r="L97" s="346"/>
      <c r="M97" s="346"/>
      <c r="N97" s="346"/>
      <c r="O97" s="346"/>
      <c r="P97" s="346"/>
      <c r="Q97" s="347"/>
      <c r="R97" s="74"/>
      <c r="S97" s="69" t="s">
        <v>156</v>
      </c>
      <c r="T97" s="62" t="str">
        <f>IF(S97=" ","",IF(S97="N/A","",IF(S97=2,"Green Grün",IF(S97=1,"Yellow Gelb",IF(S97=0,"Red Rot")))))</f>
        <v/>
      </c>
    </row>
    <row r="98" spans="1:20" ht="5.25" customHeight="1" x14ac:dyDescent="0.25">
      <c r="A98" s="148"/>
      <c r="B98" s="132"/>
      <c r="C98" s="63"/>
      <c r="D98" s="130"/>
      <c r="E98" s="130"/>
      <c r="F98" s="130"/>
      <c r="G98" s="131"/>
      <c r="H98" s="348"/>
      <c r="I98" s="349"/>
      <c r="J98" s="349"/>
      <c r="K98" s="349"/>
      <c r="L98" s="349"/>
      <c r="M98" s="349"/>
      <c r="N98" s="349"/>
      <c r="O98" s="349"/>
      <c r="P98" s="349"/>
      <c r="Q98" s="350"/>
      <c r="R98" s="4"/>
      <c r="S98" s="4"/>
      <c r="T98" s="7"/>
    </row>
    <row r="99" spans="1:20" ht="5.25" customHeight="1" x14ac:dyDescent="0.25">
      <c r="A99" s="88"/>
      <c r="B99" s="122"/>
      <c r="C99" s="145"/>
      <c r="D99" s="124"/>
      <c r="E99" s="124"/>
      <c r="F99" s="124"/>
      <c r="G99" s="125"/>
      <c r="H99" s="342"/>
      <c r="I99" s="343"/>
      <c r="J99" s="343"/>
      <c r="K99" s="343"/>
      <c r="L99" s="343"/>
      <c r="M99" s="343"/>
      <c r="N99" s="343"/>
      <c r="O99" s="343"/>
      <c r="P99" s="343"/>
      <c r="Q99" s="344"/>
      <c r="R99" s="3"/>
      <c r="S99" s="3"/>
      <c r="T99" s="6"/>
    </row>
    <row r="100" spans="1:20" ht="50.1" customHeight="1" x14ac:dyDescent="0.25">
      <c r="A100" s="88"/>
      <c r="B100" s="126" t="str">
        <f>"8.3"</f>
        <v>8.3</v>
      </c>
      <c r="C100" s="354" t="str">
        <f>VLOOKUP(Vocabularies!B152,Vocabularies!$B$1:$G$358,Vocabularies!$J$2,0)</f>
        <v>Do you have a list of approved suppliers?</v>
      </c>
      <c r="D100" s="354"/>
      <c r="E100" s="354"/>
      <c r="F100" s="354"/>
      <c r="G100" s="355"/>
      <c r="H100" s="345"/>
      <c r="I100" s="346"/>
      <c r="J100" s="346"/>
      <c r="K100" s="346"/>
      <c r="L100" s="346"/>
      <c r="M100" s="346"/>
      <c r="N100" s="346"/>
      <c r="O100" s="346"/>
      <c r="P100" s="346"/>
      <c r="Q100" s="347"/>
      <c r="R100" s="74"/>
      <c r="S100" s="69" t="s">
        <v>156</v>
      </c>
      <c r="T100" s="62" t="str">
        <f>IF(S100=" ","",IF(S100="N/A","",IF(S100=2,"Green Grün",IF(S100=1,"Yellow Gelb",IF(S100=0,"Red Rot")))))</f>
        <v/>
      </c>
    </row>
    <row r="101" spans="1:20" ht="5.25" customHeight="1" x14ac:dyDescent="0.25">
      <c r="A101" s="148"/>
      <c r="B101" s="132"/>
      <c r="C101" s="63"/>
      <c r="D101" s="130"/>
      <c r="E101" s="130"/>
      <c r="F101" s="130"/>
      <c r="G101" s="131"/>
      <c r="H101" s="348"/>
      <c r="I101" s="349"/>
      <c r="J101" s="349"/>
      <c r="K101" s="349"/>
      <c r="L101" s="349"/>
      <c r="M101" s="349"/>
      <c r="N101" s="349"/>
      <c r="O101" s="349"/>
      <c r="P101" s="349"/>
      <c r="Q101" s="350"/>
      <c r="R101" s="4"/>
      <c r="S101" s="13"/>
      <c r="T101" s="7"/>
    </row>
    <row r="102" spans="1:20" ht="5.25" customHeight="1" x14ac:dyDescent="0.25">
      <c r="A102" s="88"/>
      <c r="B102" s="124"/>
      <c r="C102" s="124"/>
      <c r="D102" s="124"/>
      <c r="E102" s="124"/>
      <c r="F102" s="124"/>
      <c r="G102" s="125"/>
      <c r="H102" s="342"/>
      <c r="I102" s="343"/>
      <c r="J102" s="343"/>
      <c r="K102" s="343"/>
      <c r="L102" s="343"/>
      <c r="M102" s="343"/>
      <c r="N102" s="343"/>
      <c r="O102" s="343"/>
      <c r="P102" s="343"/>
      <c r="Q102" s="344"/>
      <c r="R102" s="3"/>
      <c r="S102" s="3"/>
      <c r="T102" s="6"/>
    </row>
    <row r="103" spans="1:20" ht="62.25" customHeight="1" x14ac:dyDescent="0.25">
      <c r="A103" s="88"/>
      <c r="B103" s="126" t="str">
        <f>"8.4"</f>
        <v>8.4</v>
      </c>
      <c r="C103" s="354" t="str">
        <f>VLOOKUP(Vocabularies!B153,Vocabularies!$B$1:$G$358,Vocabularies!$J$2,0)</f>
        <v>Are purchased products checked at incoming – inspection area or at their assembly to Zero Defect (ZD) and will records of these checks be kept for at least 5 years (15 years for special records) after production?</v>
      </c>
      <c r="D103" s="354"/>
      <c r="E103" s="354"/>
      <c r="F103" s="354"/>
      <c r="G103" s="355"/>
      <c r="H103" s="345"/>
      <c r="I103" s="346"/>
      <c r="J103" s="346"/>
      <c r="K103" s="346"/>
      <c r="L103" s="346"/>
      <c r="M103" s="346"/>
      <c r="N103" s="346"/>
      <c r="O103" s="346"/>
      <c r="P103" s="346"/>
      <c r="Q103" s="347"/>
      <c r="R103" s="74"/>
      <c r="S103" s="69" t="s">
        <v>156</v>
      </c>
      <c r="T103" s="62" t="str">
        <f>IF(S103=" ","",IF(S103="N/A","",IF(S103=2,"Green Grün",IF(S103=1,"Yellow Gelb",IF(S103=0,"Red Rot")))))</f>
        <v/>
      </c>
    </row>
    <row r="104" spans="1:20" ht="5.25" customHeight="1" x14ac:dyDescent="0.25">
      <c r="A104" s="148"/>
      <c r="B104" s="132"/>
      <c r="C104" s="146"/>
      <c r="D104" s="146"/>
      <c r="E104" s="146"/>
      <c r="F104" s="146"/>
      <c r="G104" s="147"/>
      <c r="H104" s="348"/>
      <c r="I104" s="349"/>
      <c r="J104" s="349"/>
      <c r="K104" s="349"/>
      <c r="L104" s="349"/>
      <c r="M104" s="349"/>
      <c r="N104" s="349"/>
      <c r="O104" s="349"/>
      <c r="P104" s="349"/>
      <c r="Q104" s="350"/>
      <c r="R104" s="70"/>
      <c r="S104" s="4"/>
      <c r="T104" s="64"/>
    </row>
    <row r="105" spans="1:20" ht="5.25" customHeight="1" x14ac:dyDescent="0.25">
      <c r="A105" s="88"/>
      <c r="B105" s="124"/>
      <c r="C105" s="124"/>
      <c r="D105" s="124"/>
      <c r="E105" s="124"/>
      <c r="F105" s="124"/>
      <c r="G105" s="125"/>
      <c r="H105" s="342"/>
      <c r="I105" s="343"/>
      <c r="J105" s="343"/>
      <c r="K105" s="343"/>
      <c r="L105" s="343"/>
      <c r="M105" s="343"/>
      <c r="N105" s="343"/>
      <c r="O105" s="343"/>
      <c r="P105" s="343"/>
      <c r="Q105" s="344"/>
      <c r="R105" s="3"/>
      <c r="S105" s="3"/>
      <c r="T105" s="6"/>
    </row>
    <row r="106" spans="1:20" ht="50.1" customHeight="1" x14ac:dyDescent="0.25">
      <c r="A106" s="88"/>
      <c r="B106" s="126" t="str">
        <f>"8.5"</f>
        <v>8.5</v>
      </c>
      <c r="C106" s="354" t="str">
        <f>VLOOKUP(Vocabularies!B154,Vocabularies!$B$1:$G$358,Vocabularies!$J$2,0)</f>
        <v>Are warehouses supervised and organized?</v>
      </c>
      <c r="D106" s="354"/>
      <c r="E106" s="354"/>
      <c r="F106" s="354"/>
      <c r="G106" s="355"/>
      <c r="H106" s="345"/>
      <c r="I106" s="346"/>
      <c r="J106" s="346"/>
      <c r="K106" s="346"/>
      <c r="L106" s="346"/>
      <c r="M106" s="346"/>
      <c r="N106" s="346"/>
      <c r="O106" s="346"/>
      <c r="P106" s="346"/>
      <c r="Q106" s="347"/>
      <c r="R106" s="74"/>
      <c r="S106" s="69" t="s">
        <v>156</v>
      </c>
      <c r="T106" s="62" t="str">
        <f>IF(S106=" ","",IF(S106="N/A","",IF(S106=2,"Green Grün",IF(S106=1,"Yellow Gelb",IF(S106=0,"Red Rot")))))</f>
        <v/>
      </c>
    </row>
    <row r="107" spans="1:20" ht="5.25" customHeight="1" x14ac:dyDescent="0.25">
      <c r="A107" s="148"/>
      <c r="B107" s="132"/>
      <c r="C107" s="63"/>
      <c r="D107" s="130"/>
      <c r="E107" s="130"/>
      <c r="F107" s="130"/>
      <c r="G107" s="131"/>
      <c r="H107" s="348"/>
      <c r="I107" s="349"/>
      <c r="J107" s="349"/>
      <c r="K107" s="349"/>
      <c r="L107" s="349"/>
      <c r="M107" s="349"/>
      <c r="N107" s="349"/>
      <c r="O107" s="349"/>
      <c r="P107" s="349"/>
      <c r="Q107" s="350"/>
      <c r="R107" s="4"/>
      <c r="S107" s="4"/>
      <c r="T107" s="7"/>
    </row>
    <row r="108" spans="1:20" ht="5.25" customHeight="1" x14ac:dyDescent="0.25">
      <c r="A108" s="88"/>
      <c r="B108" s="122"/>
      <c r="C108" s="55"/>
      <c r="D108" s="124"/>
      <c r="E108" s="124"/>
      <c r="F108" s="124"/>
      <c r="G108" s="125"/>
      <c r="H108" s="342"/>
      <c r="I108" s="343"/>
      <c r="J108" s="343"/>
      <c r="K108" s="343"/>
      <c r="L108" s="343"/>
      <c r="M108" s="343"/>
      <c r="N108" s="343"/>
      <c r="O108" s="343"/>
      <c r="P108" s="343"/>
      <c r="Q108" s="344"/>
      <c r="R108" s="3"/>
      <c r="S108" s="3"/>
      <c r="T108" s="6"/>
    </row>
    <row r="109" spans="1:20" ht="50.1" customHeight="1" x14ac:dyDescent="0.25">
      <c r="A109" s="88"/>
      <c r="B109" s="126" t="str">
        <f>"8.6"</f>
        <v>8.6</v>
      </c>
      <c r="C109" s="354" t="str">
        <f>VLOOKUP(Vocabularies!B155,Vocabularies!$B$1:$G$358,Vocabularies!$J$2,0)</f>
        <v>Do you have defined process to identify raw materials and to know their application?</v>
      </c>
      <c r="D109" s="354"/>
      <c r="E109" s="354"/>
      <c r="F109" s="354"/>
      <c r="G109" s="355"/>
      <c r="H109" s="345"/>
      <c r="I109" s="346"/>
      <c r="J109" s="346"/>
      <c r="K109" s="346"/>
      <c r="L109" s="346"/>
      <c r="M109" s="346"/>
      <c r="N109" s="346"/>
      <c r="O109" s="346"/>
      <c r="P109" s="346"/>
      <c r="Q109" s="347"/>
      <c r="R109" s="74"/>
      <c r="S109" s="69" t="s">
        <v>156</v>
      </c>
      <c r="T109" s="62" t="str">
        <f>IF(S109=" ","",IF(S109="N/A","",IF(S109=2,"Green Grün",IF(S109=1,"Yellow Gelb",IF(S109=0,"Red Rot")))))</f>
        <v/>
      </c>
    </row>
    <row r="110" spans="1:20" ht="5.25" customHeight="1" x14ac:dyDescent="0.25">
      <c r="A110" s="148"/>
      <c r="B110" s="132"/>
      <c r="C110" s="63"/>
      <c r="D110" s="130"/>
      <c r="E110" s="130"/>
      <c r="F110" s="130"/>
      <c r="G110" s="131"/>
      <c r="H110" s="348"/>
      <c r="I110" s="349"/>
      <c r="J110" s="349"/>
      <c r="K110" s="349"/>
      <c r="L110" s="349"/>
      <c r="M110" s="349"/>
      <c r="N110" s="349"/>
      <c r="O110" s="349"/>
      <c r="P110" s="349"/>
      <c r="Q110" s="350"/>
      <c r="R110" s="4"/>
      <c r="S110" s="4"/>
      <c r="T110" s="7"/>
    </row>
    <row r="111" spans="1:20" ht="5.25" customHeight="1" x14ac:dyDescent="0.25">
      <c r="A111" s="88"/>
      <c r="B111" s="122"/>
      <c r="C111" s="145"/>
      <c r="D111" s="124"/>
      <c r="E111" s="124"/>
      <c r="F111" s="124"/>
      <c r="G111" s="125"/>
      <c r="H111" s="342"/>
      <c r="I111" s="343"/>
      <c r="J111" s="343"/>
      <c r="K111" s="343"/>
      <c r="L111" s="343"/>
      <c r="M111" s="343"/>
      <c r="N111" s="343"/>
      <c r="O111" s="343"/>
      <c r="P111" s="343"/>
      <c r="Q111" s="344"/>
      <c r="R111" s="3"/>
      <c r="S111" s="3"/>
      <c r="T111" s="6"/>
    </row>
    <row r="112" spans="1:20" ht="50.1" customHeight="1" x14ac:dyDescent="0.25">
      <c r="A112" s="88"/>
      <c r="B112" s="126" t="str">
        <f>"8.7"</f>
        <v>8.7</v>
      </c>
      <c r="C112" s="354" t="str">
        <f>VLOOKUP(Vocabularies!B156,Vocabularies!$B$1:$G$358,Vocabularies!$J$2,0)</f>
        <v>Is raw material stored and processed in order to avoid a negative influence of the environment?</v>
      </c>
      <c r="D112" s="354"/>
      <c r="E112" s="354"/>
      <c r="F112" s="354"/>
      <c r="G112" s="355"/>
      <c r="H112" s="345"/>
      <c r="I112" s="346"/>
      <c r="J112" s="346"/>
      <c r="K112" s="346"/>
      <c r="L112" s="346"/>
      <c r="M112" s="346"/>
      <c r="N112" s="346"/>
      <c r="O112" s="346"/>
      <c r="P112" s="346"/>
      <c r="Q112" s="347"/>
      <c r="R112" s="74"/>
      <c r="S112" s="69" t="s">
        <v>156</v>
      </c>
      <c r="T112" s="62" t="str">
        <f>IF(S112=" ","",IF(S112="N/A","",IF(S112=2,"Green Grün",IF(S112=1,"Yellow Gelb",IF(S112=0,"Red Rot")))))</f>
        <v/>
      </c>
    </row>
    <row r="113" spans="1:20" ht="5.25" customHeight="1" x14ac:dyDescent="0.25">
      <c r="A113" s="148"/>
      <c r="B113" s="132"/>
      <c r="C113" s="63"/>
      <c r="D113" s="130"/>
      <c r="E113" s="130"/>
      <c r="F113" s="130"/>
      <c r="G113" s="131"/>
      <c r="H113" s="348"/>
      <c r="I113" s="349"/>
      <c r="J113" s="349"/>
      <c r="K113" s="349"/>
      <c r="L113" s="349"/>
      <c r="M113" s="349"/>
      <c r="N113" s="349"/>
      <c r="O113" s="349"/>
      <c r="P113" s="349"/>
      <c r="Q113" s="350"/>
      <c r="R113" s="4"/>
      <c r="S113" s="13"/>
      <c r="T113" s="7"/>
    </row>
    <row r="114" spans="1:20" ht="5.25" customHeight="1" x14ac:dyDescent="0.25">
      <c r="A114" s="88"/>
      <c r="B114" s="124"/>
      <c r="C114" s="124"/>
      <c r="D114" s="124"/>
      <c r="E114" s="124"/>
      <c r="F114" s="124"/>
      <c r="G114" s="125"/>
      <c r="H114" s="342"/>
      <c r="I114" s="343"/>
      <c r="J114" s="343"/>
      <c r="K114" s="343"/>
      <c r="L114" s="343"/>
      <c r="M114" s="343"/>
      <c r="N114" s="343"/>
      <c r="O114" s="343"/>
      <c r="P114" s="343"/>
      <c r="Q114" s="344"/>
      <c r="R114" s="3"/>
      <c r="S114" s="3"/>
      <c r="T114" s="6"/>
    </row>
    <row r="115" spans="1:20" ht="50.1" customHeight="1" x14ac:dyDescent="0.25">
      <c r="A115" s="88"/>
      <c r="B115" s="126" t="str">
        <f>"8.8"</f>
        <v>8.8</v>
      </c>
      <c r="C115" s="354" t="str">
        <f>VLOOKUP(Vocabularies!B157,Vocabularies!$B$1:$G$358,Vocabularies!$J$2,0)</f>
        <v>Is material with limited shelf life identified and monitored?</v>
      </c>
      <c r="D115" s="354"/>
      <c r="E115" s="354"/>
      <c r="F115" s="354"/>
      <c r="G115" s="355"/>
      <c r="H115" s="345"/>
      <c r="I115" s="346"/>
      <c r="J115" s="346"/>
      <c r="K115" s="346"/>
      <c r="L115" s="346"/>
      <c r="M115" s="346"/>
      <c r="N115" s="346"/>
      <c r="O115" s="346"/>
      <c r="P115" s="346"/>
      <c r="Q115" s="347"/>
      <c r="R115" s="74"/>
      <c r="S115" s="69" t="s">
        <v>156</v>
      </c>
      <c r="T115" s="62" t="str">
        <f>IF(S115=" ","",IF(S115="N/A","",IF(S115=2,"Green Grün",IF(S115=1,"Yellow Gelb",IF(S115=0,"Red Rot")))))</f>
        <v/>
      </c>
    </row>
    <row r="116" spans="1:20" ht="5.25" customHeight="1" x14ac:dyDescent="0.25">
      <c r="A116" s="148"/>
      <c r="B116" s="132"/>
      <c r="C116" s="146"/>
      <c r="D116" s="146"/>
      <c r="E116" s="146"/>
      <c r="F116" s="146"/>
      <c r="G116" s="147"/>
      <c r="H116" s="348"/>
      <c r="I116" s="349"/>
      <c r="J116" s="349"/>
      <c r="K116" s="349"/>
      <c r="L116" s="349"/>
      <c r="M116" s="349"/>
      <c r="N116" s="349"/>
      <c r="O116" s="349"/>
      <c r="P116" s="349"/>
      <c r="Q116" s="350"/>
      <c r="R116" s="70"/>
      <c r="S116" s="4"/>
      <c r="T116" s="64"/>
    </row>
    <row r="117" spans="1:20" ht="5.25" customHeight="1" x14ac:dyDescent="0.25">
      <c r="A117" s="88"/>
      <c r="B117" s="122"/>
      <c r="C117" s="55"/>
      <c r="D117" s="124"/>
      <c r="E117" s="124"/>
      <c r="F117" s="124"/>
      <c r="G117" s="125"/>
      <c r="H117" s="342"/>
      <c r="I117" s="343"/>
      <c r="J117" s="343"/>
      <c r="K117" s="343"/>
      <c r="L117" s="343"/>
      <c r="M117" s="343"/>
      <c r="N117" s="343"/>
      <c r="O117" s="343"/>
      <c r="P117" s="343"/>
      <c r="Q117" s="344"/>
      <c r="R117" s="3"/>
      <c r="S117" s="3"/>
      <c r="T117" s="6"/>
    </row>
    <row r="118" spans="1:20" ht="50.1" customHeight="1" x14ac:dyDescent="0.25">
      <c r="A118" s="88"/>
      <c r="B118" s="126" t="str">
        <f>"8.9"</f>
        <v>8.9</v>
      </c>
      <c r="C118" s="354" t="str">
        <f>VLOOKUP(Vocabularies!B158,Vocabularies!$B$1:$G$358,Vocabularies!$J$2,0)</f>
        <v>Are materials quarantined until they are tested?</v>
      </c>
      <c r="D118" s="354"/>
      <c r="E118" s="354"/>
      <c r="F118" s="354"/>
      <c r="G118" s="355"/>
      <c r="H118" s="345"/>
      <c r="I118" s="346"/>
      <c r="J118" s="346"/>
      <c r="K118" s="346"/>
      <c r="L118" s="346"/>
      <c r="M118" s="346"/>
      <c r="N118" s="346"/>
      <c r="O118" s="346"/>
      <c r="P118" s="346"/>
      <c r="Q118" s="347"/>
      <c r="R118" s="74"/>
      <c r="S118" s="69" t="s">
        <v>156</v>
      </c>
      <c r="T118" s="62" t="str">
        <f>IF(S118=" ","",IF(S118="N/A","",IF(S118=2,"Green Grün",IF(S118=1,"Yellow Gelb",IF(S118=0,"Red Rot")))))</f>
        <v/>
      </c>
    </row>
    <row r="119" spans="1:20" ht="5.25" customHeight="1" x14ac:dyDescent="0.25">
      <c r="A119" s="148"/>
      <c r="B119" s="132"/>
      <c r="C119" s="63"/>
      <c r="D119" s="130"/>
      <c r="E119" s="130"/>
      <c r="F119" s="130"/>
      <c r="G119" s="131"/>
      <c r="H119" s="348"/>
      <c r="I119" s="349"/>
      <c r="J119" s="349"/>
      <c r="K119" s="349"/>
      <c r="L119" s="349"/>
      <c r="M119" s="349"/>
      <c r="N119" s="349"/>
      <c r="O119" s="349"/>
      <c r="P119" s="349"/>
      <c r="Q119" s="350"/>
      <c r="R119" s="4"/>
      <c r="S119" s="4"/>
      <c r="T119" s="7"/>
    </row>
    <row r="120" spans="1:20" ht="5.25" customHeight="1" x14ac:dyDescent="0.25">
      <c r="A120" s="88"/>
      <c r="B120" s="122"/>
      <c r="C120" s="145"/>
      <c r="D120" s="124"/>
      <c r="E120" s="124"/>
      <c r="F120" s="124"/>
      <c r="G120" s="125"/>
      <c r="H120" s="342"/>
      <c r="I120" s="343"/>
      <c r="J120" s="343"/>
      <c r="K120" s="343"/>
      <c r="L120" s="343"/>
      <c r="M120" s="343"/>
      <c r="N120" s="343"/>
      <c r="O120" s="343"/>
      <c r="P120" s="343"/>
      <c r="Q120" s="344"/>
      <c r="R120" s="3"/>
      <c r="S120" s="3"/>
      <c r="T120" s="6"/>
    </row>
    <row r="121" spans="1:20" ht="50.1" customHeight="1" x14ac:dyDescent="0.25">
      <c r="A121" s="88"/>
      <c r="B121" s="126" t="str">
        <f>"8.10"</f>
        <v>8.10</v>
      </c>
      <c r="C121" s="354" t="str">
        <f>VLOOKUP(Vocabularies!B159,Vocabularies!$B$1:$G$358,Vocabularies!$J$2,0)</f>
        <v>Are there procedures for the segregation, identification and disposal of rejected materials?</v>
      </c>
      <c r="D121" s="354"/>
      <c r="E121" s="354"/>
      <c r="F121" s="354"/>
      <c r="G121" s="355"/>
      <c r="H121" s="345"/>
      <c r="I121" s="346"/>
      <c r="J121" s="346"/>
      <c r="K121" s="346"/>
      <c r="L121" s="346"/>
      <c r="M121" s="346"/>
      <c r="N121" s="346"/>
      <c r="O121" s="346"/>
      <c r="P121" s="346"/>
      <c r="Q121" s="347"/>
      <c r="R121" s="74"/>
      <c r="S121" s="69" t="s">
        <v>156</v>
      </c>
      <c r="T121" s="62" t="str">
        <f>IF(S121=" ","",IF(S121="N/A","",IF(S121=2,"Green Grün",IF(S121=1,"Yellow Gelb",IF(S121=0,"Red Rot")))))</f>
        <v/>
      </c>
    </row>
    <row r="122" spans="1:20" ht="5.25" customHeight="1" x14ac:dyDescent="0.25">
      <c r="A122" s="148"/>
      <c r="B122" s="132"/>
      <c r="C122" s="63"/>
      <c r="D122" s="130"/>
      <c r="E122" s="130"/>
      <c r="F122" s="130"/>
      <c r="G122" s="131"/>
      <c r="H122" s="348"/>
      <c r="I122" s="349"/>
      <c r="J122" s="349"/>
      <c r="K122" s="349"/>
      <c r="L122" s="349"/>
      <c r="M122" s="349"/>
      <c r="N122" s="349"/>
      <c r="O122" s="349"/>
      <c r="P122" s="349"/>
      <c r="Q122" s="350"/>
      <c r="R122" s="4"/>
      <c r="S122" s="13"/>
      <c r="T122" s="7"/>
    </row>
    <row r="123" spans="1:20" ht="5.25" customHeight="1" x14ac:dyDescent="0.25">
      <c r="A123" s="88"/>
      <c r="B123" s="124"/>
      <c r="C123" s="124"/>
      <c r="D123" s="124"/>
      <c r="E123" s="124"/>
      <c r="F123" s="124"/>
      <c r="G123" s="125"/>
      <c r="H123" s="342"/>
      <c r="I123" s="343"/>
      <c r="J123" s="343"/>
      <c r="K123" s="343"/>
      <c r="L123" s="343"/>
      <c r="M123" s="343"/>
      <c r="N123" s="343"/>
      <c r="O123" s="343"/>
      <c r="P123" s="343"/>
      <c r="Q123" s="344"/>
      <c r="R123" s="3"/>
      <c r="S123" s="3"/>
      <c r="T123" s="6"/>
    </row>
    <row r="124" spans="1:20" ht="50.1" customHeight="1" x14ac:dyDescent="0.25">
      <c r="A124" s="88"/>
      <c r="B124" s="126" t="str">
        <f>"8.11"</f>
        <v>8.11</v>
      </c>
      <c r="C124" s="354" t="str">
        <f>VLOOKUP(Vocabularies!B160,Vocabularies!$B$1:$G$358,Vocabularies!$J$2,0)</f>
        <v>Are urgent measures, correction and improvement activities implemented by your subcontractors within agreed timescales?</v>
      </c>
      <c r="D124" s="354"/>
      <c r="E124" s="354"/>
      <c r="F124" s="354"/>
      <c r="G124" s="355"/>
      <c r="H124" s="345"/>
      <c r="I124" s="346"/>
      <c r="J124" s="346"/>
      <c r="K124" s="346"/>
      <c r="L124" s="346"/>
      <c r="M124" s="346"/>
      <c r="N124" s="346"/>
      <c r="O124" s="346"/>
      <c r="P124" s="346"/>
      <c r="Q124" s="347"/>
      <c r="R124" s="74"/>
      <c r="S124" s="69" t="s">
        <v>156</v>
      </c>
      <c r="T124" s="62" t="str">
        <f>IF(S124=" ","",IF(S124="N/A","",IF(S124=2,"Green Grün",IF(S124=1,"Yellow Gelb",IF(S124=0,"Red Rot")))))</f>
        <v/>
      </c>
    </row>
    <row r="125" spans="1:20" ht="5.25" customHeight="1" x14ac:dyDescent="0.25">
      <c r="A125" s="148"/>
      <c r="B125" s="128"/>
      <c r="C125" s="66"/>
      <c r="D125" s="66"/>
      <c r="E125" s="66"/>
      <c r="F125" s="66"/>
      <c r="G125" s="83"/>
      <c r="H125" s="348"/>
      <c r="I125" s="349"/>
      <c r="J125" s="349"/>
      <c r="K125" s="349"/>
      <c r="L125" s="349"/>
      <c r="M125" s="349"/>
      <c r="N125" s="349"/>
      <c r="O125" s="349"/>
      <c r="P125" s="349"/>
      <c r="Q125" s="350"/>
      <c r="R125" s="248"/>
      <c r="S125" s="4"/>
      <c r="T125" s="64"/>
    </row>
    <row r="126" spans="1:20" ht="5.25" customHeight="1" x14ac:dyDescent="0.25">
      <c r="A126" s="88"/>
      <c r="B126" s="124"/>
      <c r="C126" s="124"/>
      <c r="D126" s="124"/>
      <c r="E126" s="124"/>
      <c r="F126" s="124"/>
      <c r="G126" s="125"/>
      <c r="H126" s="342"/>
      <c r="I126" s="343"/>
      <c r="J126" s="343"/>
      <c r="K126" s="343"/>
      <c r="L126" s="343"/>
      <c r="M126" s="343"/>
      <c r="N126" s="343"/>
      <c r="O126" s="343"/>
      <c r="P126" s="343"/>
      <c r="Q126" s="344"/>
      <c r="R126" s="3"/>
      <c r="S126" s="3"/>
      <c r="T126" s="6"/>
    </row>
    <row r="127" spans="1:20" ht="50.1" customHeight="1" x14ac:dyDescent="0.25">
      <c r="A127" s="88"/>
      <c r="B127" s="126" t="str">
        <f>"8.12"</f>
        <v>8.12</v>
      </c>
      <c r="C127" s="354" t="str">
        <f>VLOOKUP(Vocabularies!B161,Vocabularies!$B$1:$G$358,Vocabularies!$J$2,0)</f>
        <v>How does the organization establish a process to ensure, for the defined and agreed product life cycle, the availability of the supplied products and spare parts? (Obsoleszenz)</v>
      </c>
      <c r="D127" s="354"/>
      <c r="E127" s="354"/>
      <c r="F127" s="354"/>
      <c r="G127" s="355"/>
      <c r="H127" s="345"/>
      <c r="I127" s="346"/>
      <c r="J127" s="346"/>
      <c r="K127" s="346"/>
      <c r="L127" s="346"/>
      <c r="M127" s="346"/>
      <c r="N127" s="346"/>
      <c r="O127" s="346"/>
      <c r="P127" s="346"/>
      <c r="Q127" s="347"/>
      <c r="R127" s="74"/>
      <c r="S127" s="69" t="s">
        <v>156</v>
      </c>
      <c r="T127" s="62" t="str">
        <f>IF(S127=" ","",IF(S127="N/A","",IF(S127=2,"Green Grün",IF(S127=1,"Yellow Gelb",IF(S127=0,"Red Rot")))))</f>
        <v/>
      </c>
    </row>
    <row r="128" spans="1:20" ht="5.25" customHeight="1" x14ac:dyDescent="0.25">
      <c r="A128" s="148"/>
      <c r="B128" s="128"/>
      <c r="C128" s="66"/>
      <c r="D128" s="66"/>
      <c r="E128" s="66"/>
      <c r="F128" s="66"/>
      <c r="G128" s="83"/>
      <c r="H128" s="348"/>
      <c r="I128" s="349"/>
      <c r="J128" s="349"/>
      <c r="K128" s="349"/>
      <c r="L128" s="349"/>
      <c r="M128" s="349"/>
      <c r="N128" s="349"/>
      <c r="O128" s="349"/>
      <c r="P128" s="349"/>
      <c r="Q128" s="350"/>
      <c r="R128" s="248"/>
      <c r="S128" s="4"/>
      <c r="T128" s="64"/>
    </row>
    <row r="129" spans="1:20" ht="17.399999999999999" x14ac:dyDescent="0.3">
      <c r="A129" s="118" t="s">
        <v>600</v>
      </c>
      <c r="B129" s="56" t="str">
        <f>VLOOKUP(Vocabularies!B162,Vocabularies!$B$1:$G$358,Vocabularies!$J$2,0)</f>
        <v>Production and service provision</v>
      </c>
      <c r="C129" s="139"/>
      <c r="D129" s="139"/>
      <c r="E129" s="139"/>
      <c r="F129" s="139"/>
      <c r="G129" s="140"/>
      <c r="H129" s="351" t="str">
        <f>VLOOKUP(Vocabularies!B111,Vocabularies!$B$1:$G$358,Vocabularies!$J$2,0)</f>
        <v>Comments (in case of answers „&lt;2 or N/A“)</v>
      </c>
      <c r="I129" s="352"/>
      <c r="J129" s="352"/>
      <c r="K129" s="352"/>
      <c r="L129" s="352"/>
      <c r="M129" s="352"/>
      <c r="N129" s="352"/>
      <c r="O129" s="352"/>
      <c r="P129" s="352"/>
      <c r="Q129" s="353"/>
      <c r="R129" s="381" t="str">
        <f>VLOOKUP(Vocabularies!B4,Vocabularies!$B$1:$G$358,Vocabularies!$J$2,0)</f>
        <v>Assessment</v>
      </c>
      <c r="S129" s="382"/>
      <c r="T129" s="383"/>
    </row>
    <row r="130" spans="1:20" ht="5.25" customHeight="1" x14ac:dyDescent="0.25">
      <c r="A130" s="88"/>
      <c r="B130" s="124"/>
      <c r="C130" s="124"/>
      <c r="D130" s="124"/>
      <c r="E130" s="124"/>
      <c r="F130" s="124"/>
      <c r="G130" s="125"/>
      <c r="H130" s="342"/>
      <c r="I130" s="343"/>
      <c r="J130" s="343"/>
      <c r="K130" s="343"/>
      <c r="L130" s="343"/>
      <c r="M130" s="343"/>
      <c r="N130" s="343"/>
      <c r="O130" s="343"/>
      <c r="P130" s="343"/>
      <c r="Q130" s="344"/>
      <c r="R130" s="3"/>
      <c r="S130" s="3"/>
      <c r="T130" s="6"/>
    </row>
    <row r="131" spans="1:20" ht="50.1" customHeight="1" x14ac:dyDescent="0.25">
      <c r="A131" s="88"/>
      <c r="B131" s="126" t="str">
        <f>"9.1"</f>
        <v>9.1</v>
      </c>
      <c r="C131" s="354" t="str">
        <f>VLOOKUP(Vocabularies!B163,Vocabularies!$B$1:$G$358,Vocabularies!$J$2,0)</f>
        <v>Are there documented work instructions for the production?</v>
      </c>
      <c r="D131" s="354"/>
      <c r="E131" s="354"/>
      <c r="F131" s="354"/>
      <c r="G131" s="355"/>
      <c r="H131" s="345"/>
      <c r="I131" s="346"/>
      <c r="J131" s="346"/>
      <c r="K131" s="346"/>
      <c r="L131" s="346"/>
      <c r="M131" s="346"/>
      <c r="N131" s="346"/>
      <c r="O131" s="346"/>
      <c r="P131" s="346"/>
      <c r="Q131" s="347"/>
      <c r="R131" s="74"/>
      <c r="S131" s="69" t="s">
        <v>156</v>
      </c>
      <c r="T131" s="62" t="str">
        <f>IF(S131=" ","",IF(S131="N/A","",IF(S131=2,"Green Grün",IF(S131=1,"Yellow Gelb",IF(S131=0,"Red Rot")))))</f>
        <v/>
      </c>
    </row>
    <row r="132" spans="1:20" ht="5.25" customHeight="1" x14ac:dyDescent="0.25">
      <c r="A132" s="148"/>
      <c r="B132" s="132"/>
      <c r="C132" s="63"/>
      <c r="D132" s="130"/>
      <c r="E132" s="130"/>
      <c r="F132" s="130"/>
      <c r="G132" s="131"/>
      <c r="H132" s="348"/>
      <c r="I132" s="349"/>
      <c r="J132" s="349"/>
      <c r="K132" s="349"/>
      <c r="L132" s="349"/>
      <c r="M132" s="349"/>
      <c r="N132" s="349"/>
      <c r="O132" s="349"/>
      <c r="P132" s="349"/>
      <c r="Q132" s="350"/>
      <c r="R132" s="4"/>
      <c r="S132" s="4"/>
      <c r="T132" s="7"/>
    </row>
    <row r="133" spans="1:20" ht="5.25" customHeight="1" x14ac:dyDescent="0.25">
      <c r="A133" s="88"/>
      <c r="B133" s="122"/>
      <c r="C133" s="55"/>
      <c r="D133" s="124"/>
      <c r="E133" s="124"/>
      <c r="F133" s="124"/>
      <c r="G133" s="125"/>
      <c r="H133" s="342"/>
      <c r="I133" s="343"/>
      <c r="J133" s="343"/>
      <c r="K133" s="343"/>
      <c r="L133" s="343"/>
      <c r="M133" s="343"/>
      <c r="N133" s="343"/>
      <c r="O133" s="343"/>
      <c r="P133" s="343"/>
      <c r="Q133" s="344"/>
      <c r="R133" s="3"/>
      <c r="S133" s="3"/>
      <c r="T133" s="6"/>
    </row>
    <row r="134" spans="1:20" ht="50.1" customHeight="1" x14ac:dyDescent="0.25">
      <c r="A134" s="88"/>
      <c r="B134" s="126" t="str">
        <f>"9.2"</f>
        <v>9.2</v>
      </c>
      <c r="C134" s="354" t="str">
        <f>VLOOKUP(Vocabularies!B164,Vocabularies!$B$1:$G$358,Vocabularies!$J$2,0)</f>
        <v>Is process data collected and recorded?</v>
      </c>
      <c r="D134" s="354"/>
      <c r="E134" s="354"/>
      <c r="F134" s="354"/>
      <c r="G134" s="355"/>
      <c r="H134" s="345"/>
      <c r="I134" s="346"/>
      <c r="J134" s="346"/>
      <c r="K134" s="346"/>
      <c r="L134" s="346"/>
      <c r="M134" s="346"/>
      <c r="N134" s="346"/>
      <c r="O134" s="346"/>
      <c r="P134" s="346"/>
      <c r="Q134" s="347"/>
      <c r="R134" s="74"/>
      <c r="S134" s="69" t="s">
        <v>156</v>
      </c>
      <c r="T134" s="62" t="str">
        <f>IF(S134=" ","",IF(S134="N/A","",IF(S134=2,"Green Grün",IF(S134=1,"Yellow Gelb",IF(S134=0,"Red Rot")))))</f>
        <v/>
      </c>
    </row>
    <row r="135" spans="1:20" ht="5.25" customHeight="1" x14ac:dyDescent="0.25">
      <c r="A135" s="148"/>
      <c r="B135" s="132"/>
      <c r="C135" s="63"/>
      <c r="D135" s="130"/>
      <c r="E135" s="130"/>
      <c r="F135" s="130"/>
      <c r="G135" s="131"/>
      <c r="H135" s="348"/>
      <c r="I135" s="349"/>
      <c r="J135" s="349"/>
      <c r="K135" s="349"/>
      <c r="L135" s="349"/>
      <c r="M135" s="349"/>
      <c r="N135" s="349"/>
      <c r="O135" s="349"/>
      <c r="P135" s="349"/>
      <c r="Q135" s="350"/>
      <c r="R135" s="4"/>
      <c r="S135" s="4"/>
      <c r="T135" s="7"/>
    </row>
    <row r="136" spans="1:20" ht="5.25" customHeight="1" x14ac:dyDescent="0.25">
      <c r="A136" s="88"/>
      <c r="B136" s="122"/>
      <c r="C136" s="145"/>
      <c r="D136" s="124"/>
      <c r="E136" s="124"/>
      <c r="F136" s="124"/>
      <c r="G136" s="125"/>
      <c r="H136" s="342"/>
      <c r="I136" s="343"/>
      <c r="J136" s="343"/>
      <c r="K136" s="343"/>
      <c r="L136" s="343"/>
      <c r="M136" s="343"/>
      <c r="N136" s="343"/>
      <c r="O136" s="343"/>
      <c r="P136" s="343"/>
      <c r="Q136" s="344"/>
      <c r="R136" s="3"/>
      <c r="S136" s="3"/>
      <c r="T136" s="6"/>
    </row>
    <row r="137" spans="1:20" ht="50.1" customHeight="1" x14ac:dyDescent="0.25">
      <c r="A137" s="88"/>
      <c r="B137" s="126" t="str">
        <f>"9.3"</f>
        <v>9.3</v>
      </c>
      <c r="C137" s="354" t="str">
        <f>VLOOKUP(Vocabularies!B165,Vocabularies!$B$1:$G$358,Vocabularies!$J$2,0)</f>
        <v>Is there a formal process for `In - process` control?</v>
      </c>
      <c r="D137" s="354"/>
      <c r="E137" s="354"/>
      <c r="F137" s="354"/>
      <c r="G137" s="355"/>
      <c r="H137" s="345"/>
      <c r="I137" s="346"/>
      <c r="J137" s="346"/>
      <c r="K137" s="346"/>
      <c r="L137" s="346"/>
      <c r="M137" s="346"/>
      <c r="N137" s="346"/>
      <c r="O137" s="346"/>
      <c r="P137" s="346"/>
      <c r="Q137" s="347"/>
      <c r="R137" s="74"/>
      <c r="S137" s="69" t="s">
        <v>156</v>
      </c>
      <c r="T137" s="62" t="str">
        <f>IF(S137=" ","",IF(S137="N/A","",IF(S137=2,"Green Grün",IF(S137=1,"Yellow Gelb",IF(S137=0,"Red Rot")))))</f>
        <v/>
      </c>
    </row>
    <row r="138" spans="1:20" ht="5.25" customHeight="1" x14ac:dyDescent="0.25">
      <c r="A138" s="148"/>
      <c r="B138" s="132"/>
      <c r="C138" s="63"/>
      <c r="D138" s="130"/>
      <c r="E138" s="130"/>
      <c r="F138" s="130"/>
      <c r="G138" s="131"/>
      <c r="H138" s="348"/>
      <c r="I138" s="349"/>
      <c r="J138" s="349"/>
      <c r="K138" s="349"/>
      <c r="L138" s="349"/>
      <c r="M138" s="349"/>
      <c r="N138" s="349"/>
      <c r="O138" s="349"/>
      <c r="P138" s="349"/>
      <c r="Q138" s="350"/>
      <c r="R138" s="4"/>
      <c r="S138" s="13"/>
      <c r="T138" s="7"/>
    </row>
    <row r="139" spans="1:20" ht="5.25" customHeight="1" x14ac:dyDescent="0.25">
      <c r="A139" s="88"/>
      <c r="B139" s="124"/>
      <c r="C139" s="124"/>
      <c r="D139" s="124"/>
      <c r="E139" s="124"/>
      <c r="F139" s="124"/>
      <c r="G139" s="125"/>
      <c r="H139" s="342"/>
      <c r="I139" s="343"/>
      <c r="J139" s="343"/>
      <c r="K139" s="343"/>
      <c r="L139" s="343"/>
      <c r="M139" s="343"/>
      <c r="N139" s="343"/>
      <c r="O139" s="343"/>
      <c r="P139" s="343"/>
      <c r="Q139" s="344"/>
      <c r="R139" s="3"/>
      <c r="S139" s="3"/>
      <c r="T139" s="6"/>
    </row>
    <row r="140" spans="1:20" ht="50.1" customHeight="1" x14ac:dyDescent="0.25">
      <c r="A140" s="88"/>
      <c r="B140" s="126" t="str">
        <f>"9.4"</f>
        <v>9.4</v>
      </c>
      <c r="C140" s="354" t="str">
        <f>VLOOKUP(Vocabularies!B166,Vocabularies!$B$1:$G$358,Vocabularies!$J$2,0)</f>
        <v>Are `In-process` controls done by the production operators?</v>
      </c>
      <c r="D140" s="354"/>
      <c r="E140" s="354"/>
      <c r="F140" s="354"/>
      <c r="G140" s="355"/>
      <c r="H140" s="345"/>
      <c r="I140" s="346"/>
      <c r="J140" s="346"/>
      <c r="K140" s="346"/>
      <c r="L140" s="346"/>
      <c r="M140" s="346"/>
      <c r="N140" s="346"/>
      <c r="O140" s="346"/>
      <c r="P140" s="346"/>
      <c r="Q140" s="347"/>
      <c r="R140" s="74"/>
      <c r="S140" s="69" t="s">
        <v>156</v>
      </c>
      <c r="T140" s="62" t="str">
        <f>IF(S140=" ","",IF(S140="N/A","",IF(S140=2,"Green Grün",IF(S140=1,"Yellow Gelb",IF(S140=0,"Red Rot")))))</f>
        <v/>
      </c>
    </row>
    <row r="141" spans="1:20" ht="5.25" customHeight="1" x14ac:dyDescent="0.25">
      <c r="A141" s="148"/>
      <c r="B141" s="132"/>
      <c r="C141" s="146"/>
      <c r="D141" s="146"/>
      <c r="E141" s="146"/>
      <c r="F141" s="146"/>
      <c r="G141" s="147"/>
      <c r="H141" s="348"/>
      <c r="I141" s="349"/>
      <c r="J141" s="349"/>
      <c r="K141" s="349"/>
      <c r="L141" s="349"/>
      <c r="M141" s="349"/>
      <c r="N141" s="349"/>
      <c r="O141" s="349"/>
      <c r="P141" s="349"/>
      <c r="Q141" s="350"/>
      <c r="R141" s="70"/>
      <c r="S141" s="4"/>
      <c r="T141" s="64"/>
    </row>
    <row r="142" spans="1:20" ht="5.25" customHeight="1" x14ac:dyDescent="0.25">
      <c r="A142" s="88"/>
      <c r="B142" s="124"/>
      <c r="C142" s="124"/>
      <c r="D142" s="124"/>
      <c r="E142" s="124"/>
      <c r="F142" s="124"/>
      <c r="G142" s="125"/>
      <c r="H142" s="342"/>
      <c r="I142" s="343"/>
      <c r="J142" s="343"/>
      <c r="K142" s="343"/>
      <c r="L142" s="343"/>
      <c r="M142" s="343"/>
      <c r="N142" s="343"/>
      <c r="O142" s="343"/>
      <c r="P142" s="343"/>
      <c r="Q142" s="344"/>
      <c r="R142" s="3"/>
      <c r="S142" s="3"/>
      <c r="T142" s="6"/>
    </row>
    <row r="143" spans="1:20" ht="50.1" customHeight="1" x14ac:dyDescent="0.25">
      <c r="A143" s="88"/>
      <c r="B143" s="126" t="str">
        <f>"9.5"</f>
        <v>9.5</v>
      </c>
      <c r="C143" s="354" t="str">
        <f>VLOOKUP(Vocabularies!B167,Vocabularies!$B$1:$G$358,Vocabularies!$J$2,0)</f>
        <v>Are there records of all controls and are they retained?</v>
      </c>
      <c r="D143" s="354"/>
      <c r="E143" s="354"/>
      <c r="F143" s="354"/>
      <c r="G143" s="355"/>
      <c r="H143" s="345"/>
      <c r="I143" s="346"/>
      <c r="J143" s="346"/>
      <c r="K143" s="346"/>
      <c r="L143" s="346"/>
      <c r="M143" s="346"/>
      <c r="N143" s="346"/>
      <c r="O143" s="346"/>
      <c r="P143" s="346"/>
      <c r="Q143" s="347"/>
      <c r="R143" s="74"/>
      <c r="S143" s="69" t="s">
        <v>156</v>
      </c>
      <c r="T143" s="62" t="str">
        <f>IF(S143=" ","",IF(S143="N/A","",IF(S143=2,"Green Grün",IF(S143=1,"Yellow Gelb",IF(S143=0,"Red Rot")))))</f>
        <v/>
      </c>
    </row>
    <row r="144" spans="1:20" ht="5.25" customHeight="1" x14ac:dyDescent="0.25">
      <c r="A144" s="148"/>
      <c r="B144" s="132"/>
      <c r="C144" s="63"/>
      <c r="D144" s="130"/>
      <c r="E144" s="130"/>
      <c r="F144" s="130"/>
      <c r="G144" s="131"/>
      <c r="H144" s="348"/>
      <c r="I144" s="349"/>
      <c r="J144" s="349"/>
      <c r="K144" s="349"/>
      <c r="L144" s="349"/>
      <c r="M144" s="349"/>
      <c r="N144" s="349"/>
      <c r="O144" s="349"/>
      <c r="P144" s="349"/>
      <c r="Q144" s="350"/>
      <c r="R144" s="4"/>
      <c r="S144" s="4"/>
      <c r="T144" s="7"/>
    </row>
    <row r="145" spans="1:20" ht="5.25" customHeight="1" x14ac:dyDescent="0.25">
      <c r="A145" s="88"/>
      <c r="B145" s="122"/>
      <c r="C145" s="55"/>
      <c r="D145" s="124"/>
      <c r="E145" s="124"/>
      <c r="F145" s="124"/>
      <c r="G145" s="125"/>
      <c r="H145" s="342"/>
      <c r="I145" s="343"/>
      <c r="J145" s="343"/>
      <c r="K145" s="343"/>
      <c r="L145" s="343"/>
      <c r="M145" s="343"/>
      <c r="N145" s="343"/>
      <c r="O145" s="343"/>
      <c r="P145" s="343"/>
      <c r="Q145" s="344"/>
      <c r="R145" s="3"/>
      <c r="S145" s="3"/>
      <c r="T145" s="6"/>
    </row>
    <row r="146" spans="1:20" ht="50.1" customHeight="1" x14ac:dyDescent="0.25">
      <c r="A146" s="88"/>
      <c r="B146" s="126" t="str">
        <f>"9.6"</f>
        <v>9.6</v>
      </c>
      <c r="C146" s="354" t="str">
        <f>VLOOKUP(Vocabularies!B168,Vocabularies!$B$1:$G$358,Vocabularies!$J$2,0)</f>
        <v>Is data of charge / batch / lot collected and recorded?</v>
      </c>
      <c r="D146" s="354"/>
      <c r="E146" s="354"/>
      <c r="F146" s="354"/>
      <c r="G146" s="355"/>
      <c r="H146" s="345"/>
      <c r="I146" s="346"/>
      <c r="J146" s="346"/>
      <c r="K146" s="346"/>
      <c r="L146" s="346"/>
      <c r="M146" s="346"/>
      <c r="N146" s="346"/>
      <c r="O146" s="346"/>
      <c r="P146" s="346"/>
      <c r="Q146" s="347"/>
      <c r="R146" s="74"/>
      <c r="S146" s="69" t="s">
        <v>156</v>
      </c>
      <c r="T146" s="62" t="str">
        <f>IF(S146=" ","",IF(S146="N/A","",IF(S146=2,"Green Grün",IF(S146=1,"Yellow Gelb",IF(S146=0,"Red Rot")))))</f>
        <v/>
      </c>
    </row>
    <row r="147" spans="1:20" ht="5.25" customHeight="1" x14ac:dyDescent="0.25">
      <c r="A147" s="148"/>
      <c r="B147" s="132"/>
      <c r="C147" s="63"/>
      <c r="D147" s="130"/>
      <c r="E147" s="130"/>
      <c r="F147" s="130"/>
      <c r="G147" s="131"/>
      <c r="H147" s="348"/>
      <c r="I147" s="349"/>
      <c r="J147" s="349"/>
      <c r="K147" s="349"/>
      <c r="L147" s="349"/>
      <c r="M147" s="349"/>
      <c r="N147" s="349"/>
      <c r="O147" s="349"/>
      <c r="P147" s="349"/>
      <c r="Q147" s="350"/>
      <c r="R147" s="4"/>
      <c r="S147" s="4"/>
      <c r="T147" s="7"/>
    </row>
    <row r="148" spans="1:20" ht="5.25" customHeight="1" x14ac:dyDescent="0.25">
      <c r="A148" s="88"/>
      <c r="B148" s="122"/>
      <c r="C148" s="145"/>
      <c r="D148" s="124"/>
      <c r="E148" s="124"/>
      <c r="F148" s="124"/>
      <c r="G148" s="125"/>
      <c r="H148" s="342"/>
      <c r="I148" s="343"/>
      <c r="J148" s="343"/>
      <c r="K148" s="343"/>
      <c r="L148" s="343"/>
      <c r="M148" s="343"/>
      <c r="N148" s="343"/>
      <c r="O148" s="343"/>
      <c r="P148" s="343"/>
      <c r="Q148" s="344"/>
      <c r="R148" s="3"/>
      <c r="S148" s="3"/>
      <c r="T148" s="6"/>
    </row>
    <row r="149" spans="1:20" ht="50.1" customHeight="1" x14ac:dyDescent="0.25">
      <c r="A149" s="88"/>
      <c r="B149" s="126" t="str">
        <f>"9.7"</f>
        <v>9.7</v>
      </c>
      <c r="C149" s="354" t="str">
        <f>VLOOKUP(Vocabularies!B169,Vocabularies!$B$1:$G$358,Vocabularies!$J$2,0)</f>
        <v>Can you maintain traceability of production lots / charge on the entire production process including supplied product?</v>
      </c>
      <c r="D149" s="354"/>
      <c r="E149" s="354"/>
      <c r="F149" s="354"/>
      <c r="G149" s="355"/>
      <c r="H149" s="345"/>
      <c r="I149" s="346"/>
      <c r="J149" s="346"/>
      <c r="K149" s="346"/>
      <c r="L149" s="346"/>
      <c r="M149" s="346"/>
      <c r="N149" s="346"/>
      <c r="O149" s="346"/>
      <c r="P149" s="346"/>
      <c r="Q149" s="347"/>
      <c r="R149" s="74"/>
      <c r="S149" s="69" t="s">
        <v>156</v>
      </c>
      <c r="T149" s="62" t="str">
        <f>IF(S149=" ","",IF(S149="N/A","",IF(S149=2,"Green Grün",IF(S149=1,"Yellow Gelb",IF(S149=0,"Red Rot")))))</f>
        <v/>
      </c>
    </row>
    <row r="150" spans="1:20" ht="5.25" customHeight="1" x14ac:dyDescent="0.25">
      <c r="A150" s="148"/>
      <c r="B150" s="132"/>
      <c r="C150" s="63"/>
      <c r="D150" s="130"/>
      <c r="E150" s="130"/>
      <c r="F150" s="130"/>
      <c r="G150" s="131"/>
      <c r="H150" s="348"/>
      <c r="I150" s="349"/>
      <c r="J150" s="349"/>
      <c r="K150" s="349"/>
      <c r="L150" s="349"/>
      <c r="M150" s="349"/>
      <c r="N150" s="349"/>
      <c r="O150" s="349"/>
      <c r="P150" s="349"/>
      <c r="Q150" s="350"/>
      <c r="R150" s="4"/>
      <c r="S150" s="13"/>
      <c r="T150" s="7"/>
    </row>
    <row r="151" spans="1:20" ht="5.25" customHeight="1" x14ac:dyDescent="0.25">
      <c r="A151" s="88"/>
      <c r="B151" s="124"/>
      <c r="C151" s="124"/>
      <c r="D151" s="124"/>
      <c r="E151" s="124"/>
      <c r="F151" s="124"/>
      <c r="G151" s="125"/>
      <c r="H151" s="342"/>
      <c r="I151" s="343"/>
      <c r="J151" s="343"/>
      <c r="K151" s="343"/>
      <c r="L151" s="343"/>
      <c r="M151" s="343"/>
      <c r="N151" s="343"/>
      <c r="O151" s="343"/>
      <c r="P151" s="343"/>
      <c r="Q151" s="344"/>
      <c r="R151" s="3"/>
      <c r="S151" s="3"/>
      <c r="T151" s="6"/>
    </row>
    <row r="152" spans="1:20" ht="50.1" customHeight="1" x14ac:dyDescent="0.25">
      <c r="A152" s="88"/>
      <c r="B152" s="126" t="str">
        <f>"9.8"</f>
        <v>9.8</v>
      </c>
      <c r="C152" s="354" t="str">
        <f>VLOOKUP(Vocabularies!B170,Vocabularies!$B$1:$G$358,Vocabularies!$J$2,0)</f>
        <v>Are products between processes identified and controlled?</v>
      </c>
      <c r="D152" s="354"/>
      <c r="E152" s="354"/>
      <c r="F152" s="354"/>
      <c r="G152" s="355"/>
      <c r="H152" s="345"/>
      <c r="I152" s="346"/>
      <c r="J152" s="346"/>
      <c r="K152" s="346"/>
      <c r="L152" s="346"/>
      <c r="M152" s="346"/>
      <c r="N152" s="346"/>
      <c r="O152" s="346"/>
      <c r="P152" s="346"/>
      <c r="Q152" s="347"/>
      <c r="R152" s="74"/>
      <c r="S152" s="69" t="s">
        <v>156</v>
      </c>
      <c r="T152" s="62" t="str">
        <f>IF(S152=" ","",IF(S152="N/A","",IF(S152=2,"Green Grün",IF(S152=1,"Yellow Gelb",IF(S152=0,"Red Rot")))))</f>
        <v/>
      </c>
    </row>
    <row r="153" spans="1:20" ht="5.25" customHeight="1" x14ac:dyDescent="0.25">
      <c r="A153" s="148"/>
      <c r="B153" s="132"/>
      <c r="C153" s="146"/>
      <c r="D153" s="146"/>
      <c r="E153" s="146"/>
      <c r="F153" s="146"/>
      <c r="G153" s="147"/>
      <c r="H153" s="348"/>
      <c r="I153" s="349"/>
      <c r="J153" s="349"/>
      <c r="K153" s="349"/>
      <c r="L153" s="349"/>
      <c r="M153" s="349"/>
      <c r="N153" s="349"/>
      <c r="O153" s="349"/>
      <c r="P153" s="349"/>
      <c r="Q153" s="350"/>
      <c r="R153" s="70"/>
      <c r="S153" s="4"/>
      <c r="T153" s="64"/>
    </row>
    <row r="154" spans="1:20" ht="5.25" customHeight="1" x14ac:dyDescent="0.25">
      <c r="A154" s="88"/>
      <c r="B154" s="122"/>
      <c r="C154" s="55"/>
      <c r="D154" s="124"/>
      <c r="E154" s="124"/>
      <c r="F154" s="124"/>
      <c r="G154" s="125"/>
      <c r="H154" s="342"/>
      <c r="I154" s="343"/>
      <c r="J154" s="343"/>
      <c r="K154" s="343"/>
      <c r="L154" s="343"/>
      <c r="M154" s="343"/>
      <c r="N154" s="343"/>
      <c r="O154" s="343"/>
      <c r="P154" s="343"/>
      <c r="Q154" s="344"/>
      <c r="R154" s="3"/>
      <c r="S154" s="3"/>
      <c r="T154" s="6"/>
    </row>
    <row r="155" spans="1:20" ht="50.1" customHeight="1" x14ac:dyDescent="0.25">
      <c r="A155" s="88"/>
      <c r="B155" s="126" t="str">
        <f>"9.9"</f>
        <v>9.9</v>
      </c>
      <c r="C155" s="354" t="str">
        <f>VLOOKUP(Vocabularies!B171,Vocabularies!$B$1:$G$358,Vocabularies!$J$2,0)</f>
        <v>Are test - materials identified and controlled?</v>
      </c>
      <c r="D155" s="354"/>
      <c r="E155" s="354"/>
      <c r="F155" s="354"/>
      <c r="G155" s="355"/>
      <c r="H155" s="345"/>
      <c r="I155" s="346"/>
      <c r="J155" s="346"/>
      <c r="K155" s="346"/>
      <c r="L155" s="346"/>
      <c r="M155" s="346"/>
      <c r="N155" s="346"/>
      <c r="O155" s="346"/>
      <c r="P155" s="346"/>
      <c r="Q155" s="347"/>
      <c r="R155" s="74"/>
      <c r="S155" s="69" t="s">
        <v>156</v>
      </c>
      <c r="T155" s="62" t="str">
        <f>IF(S155=" ","",IF(S155="N/A","",IF(S155=2,"Green Grün",IF(S155=1,"Yellow Gelb",IF(S155=0,"Red Rot")))))</f>
        <v/>
      </c>
    </row>
    <row r="156" spans="1:20" ht="5.25" customHeight="1" x14ac:dyDescent="0.25">
      <c r="A156" s="148"/>
      <c r="B156" s="132"/>
      <c r="C156" s="63"/>
      <c r="D156" s="130"/>
      <c r="E156" s="130"/>
      <c r="F156" s="130"/>
      <c r="G156" s="131"/>
      <c r="H156" s="348"/>
      <c r="I156" s="349"/>
      <c r="J156" s="349"/>
      <c r="K156" s="349"/>
      <c r="L156" s="349"/>
      <c r="M156" s="349"/>
      <c r="N156" s="349"/>
      <c r="O156" s="349"/>
      <c r="P156" s="349"/>
      <c r="Q156" s="350"/>
      <c r="R156" s="4"/>
      <c r="S156" s="4"/>
      <c r="T156" s="7"/>
    </row>
    <row r="157" spans="1:20" ht="5.25" customHeight="1" x14ac:dyDescent="0.25">
      <c r="A157" s="88"/>
      <c r="B157" s="122"/>
      <c r="C157" s="145"/>
      <c r="D157" s="124"/>
      <c r="E157" s="124"/>
      <c r="F157" s="124"/>
      <c r="G157" s="125"/>
      <c r="H157" s="342"/>
      <c r="I157" s="343"/>
      <c r="J157" s="343"/>
      <c r="K157" s="343"/>
      <c r="L157" s="343"/>
      <c r="M157" s="343"/>
      <c r="N157" s="343"/>
      <c r="O157" s="343"/>
      <c r="P157" s="343"/>
      <c r="Q157" s="344"/>
      <c r="R157" s="3"/>
      <c r="S157" s="3"/>
      <c r="T157" s="6"/>
    </row>
    <row r="158" spans="1:20" ht="50.1" customHeight="1" x14ac:dyDescent="0.25">
      <c r="A158" s="88"/>
      <c r="B158" s="126" t="str">
        <f>"9.10"</f>
        <v>9.10</v>
      </c>
      <c r="C158" s="354" t="str">
        <f>VLOOKUP(Vocabularies!B172,Vocabularies!$B$1:$G$358,Vocabularies!$J$2,0)</f>
        <v>Is the packaging and labeling of shipments checked and monitored?</v>
      </c>
      <c r="D158" s="354"/>
      <c r="E158" s="354"/>
      <c r="F158" s="354"/>
      <c r="G158" s="355"/>
      <c r="H158" s="345"/>
      <c r="I158" s="346"/>
      <c r="J158" s="346"/>
      <c r="K158" s="346"/>
      <c r="L158" s="346"/>
      <c r="M158" s="346"/>
      <c r="N158" s="346"/>
      <c r="O158" s="346"/>
      <c r="P158" s="346"/>
      <c r="Q158" s="347"/>
      <c r="R158" s="74"/>
      <c r="S158" s="69" t="s">
        <v>156</v>
      </c>
      <c r="T158" s="62" t="str">
        <f>IF(S158=" ","",IF(S158="N/A","",IF(S158=2,"Green Grün",IF(S158=1,"Yellow Gelb",IF(S158=0,"Red Rot")))))</f>
        <v/>
      </c>
    </row>
    <row r="159" spans="1:20" ht="5.25" customHeight="1" x14ac:dyDescent="0.25">
      <c r="A159" s="148"/>
      <c r="B159" s="132"/>
      <c r="C159" s="63"/>
      <c r="D159" s="130"/>
      <c r="E159" s="130"/>
      <c r="F159" s="130"/>
      <c r="G159" s="131"/>
      <c r="H159" s="348"/>
      <c r="I159" s="349"/>
      <c r="J159" s="349"/>
      <c r="K159" s="349"/>
      <c r="L159" s="349"/>
      <c r="M159" s="349"/>
      <c r="N159" s="349"/>
      <c r="O159" s="349"/>
      <c r="P159" s="349"/>
      <c r="Q159" s="350"/>
      <c r="R159" s="4"/>
      <c r="S159" s="13"/>
      <c r="T159" s="7"/>
    </row>
    <row r="160" spans="1:20" ht="5.25" customHeight="1" x14ac:dyDescent="0.25">
      <c r="A160" s="88"/>
      <c r="B160" s="124"/>
      <c r="C160" s="124"/>
      <c r="D160" s="124"/>
      <c r="E160" s="124"/>
      <c r="F160" s="124"/>
      <c r="G160" s="125"/>
      <c r="H160" s="342"/>
      <c r="I160" s="343"/>
      <c r="J160" s="343"/>
      <c r="K160" s="343"/>
      <c r="L160" s="343"/>
      <c r="M160" s="343"/>
      <c r="N160" s="343"/>
      <c r="O160" s="343"/>
      <c r="P160" s="343"/>
      <c r="Q160" s="344"/>
      <c r="R160" s="3"/>
      <c r="S160" s="3"/>
      <c r="T160" s="6"/>
    </row>
    <row r="161" spans="1:20" ht="50.1" customHeight="1" x14ac:dyDescent="0.25">
      <c r="A161" s="88"/>
      <c r="B161" s="126" t="str">
        <f>"9.11"</f>
        <v>9.11</v>
      </c>
      <c r="C161" s="354" t="str">
        <f>VLOOKUP(Vocabularies!B173,Vocabularies!$B$1:$G$358,Vocabularies!$J$2,0)</f>
        <v>Can you segregate and identify your materials and products by part number, charge and customers?</v>
      </c>
      <c r="D161" s="354"/>
      <c r="E161" s="354"/>
      <c r="F161" s="354"/>
      <c r="G161" s="355"/>
      <c r="H161" s="345"/>
      <c r="I161" s="346"/>
      <c r="J161" s="346"/>
      <c r="K161" s="346"/>
      <c r="L161" s="346"/>
      <c r="M161" s="346"/>
      <c r="N161" s="346"/>
      <c r="O161" s="346"/>
      <c r="P161" s="346"/>
      <c r="Q161" s="347"/>
      <c r="R161" s="74"/>
      <c r="S161" s="69" t="s">
        <v>156</v>
      </c>
      <c r="T161" s="62" t="str">
        <f>IF(S161=" ","",IF(S161="N/A","",IF(S161=2,"Green Grün",IF(S161=1,"Yellow Gelb",IF(S161=0,"Red Rot")))))</f>
        <v/>
      </c>
    </row>
    <row r="162" spans="1:20" ht="5.25" customHeight="1" x14ac:dyDescent="0.25">
      <c r="A162" s="148"/>
      <c r="B162" s="132"/>
      <c r="C162" s="146"/>
      <c r="D162" s="146"/>
      <c r="E162" s="146"/>
      <c r="F162" s="146"/>
      <c r="G162" s="147"/>
      <c r="H162" s="348"/>
      <c r="I162" s="349"/>
      <c r="J162" s="349"/>
      <c r="K162" s="349"/>
      <c r="L162" s="349"/>
      <c r="M162" s="349"/>
      <c r="N162" s="349"/>
      <c r="O162" s="349"/>
      <c r="P162" s="349"/>
      <c r="Q162" s="350"/>
      <c r="R162" s="70"/>
      <c r="S162" s="4"/>
      <c r="T162" s="64"/>
    </row>
    <row r="163" spans="1:20" ht="5.25" customHeight="1" x14ac:dyDescent="0.25">
      <c r="A163" s="88"/>
      <c r="B163" s="124"/>
      <c r="C163" s="124"/>
      <c r="D163" s="124"/>
      <c r="E163" s="124"/>
      <c r="F163" s="124"/>
      <c r="G163" s="125"/>
      <c r="H163" s="342"/>
      <c r="I163" s="343"/>
      <c r="J163" s="343"/>
      <c r="K163" s="343"/>
      <c r="L163" s="343"/>
      <c r="M163" s="343"/>
      <c r="N163" s="343"/>
      <c r="O163" s="343"/>
      <c r="P163" s="343"/>
      <c r="Q163" s="344"/>
      <c r="R163" s="3"/>
      <c r="S163" s="3"/>
      <c r="T163" s="6"/>
    </row>
    <row r="164" spans="1:20" ht="50.1" customHeight="1" x14ac:dyDescent="0.25">
      <c r="A164" s="88"/>
      <c r="B164" s="126" t="str">
        <f>"9.12"</f>
        <v>9.12</v>
      </c>
      <c r="C164" s="354" t="str">
        <f>VLOOKUP(Vocabularies!B174,Vocabularies!$B$1:$G$358,Vocabularies!$J$2,0)</f>
        <v>Is there a system for the preventive maintenance of key process equipment, machinery, tooling, gauging &amp; instruments?</v>
      </c>
      <c r="D164" s="354"/>
      <c r="E164" s="354"/>
      <c r="F164" s="354"/>
      <c r="G164" s="355"/>
      <c r="H164" s="345"/>
      <c r="I164" s="346"/>
      <c r="J164" s="346"/>
      <c r="K164" s="346"/>
      <c r="L164" s="346"/>
      <c r="M164" s="346"/>
      <c r="N164" s="346"/>
      <c r="O164" s="346"/>
      <c r="P164" s="346"/>
      <c r="Q164" s="347"/>
      <c r="R164" s="74"/>
      <c r="S164" s="69" t="s">
        <v>156</v>
      </c>
      <c r="T164" s="62" t="str">
        <f>IF(S164=" ","",IF(S164="N/A","",IF(S164=2,"Green Grün",IF(S164=1,"Yellow Gelb",IF(S164=0,"Red Rot")))))</f>
        <v/>
      </c>
    </row>
    <row r="165" spans="1:20" ht="5.25" customHeight="1" x14ac:dyDescent="0.25">
      <c r="A165" s="148"/>
      <c r="B165" s="132"/>
      <c r="C165" s="146"/>
      <c r="D165" s="146"/>
      <c r="E165" s="146"/>
      <c r="F165" s="146"/>
      <c r="G165" s="147"/>
      <c r="H165" s="348"/>
      <c r="I165" s="349"/>
      <c r="J165" s="349"/>
      <c r="K165" s="349"/>
      <c r="L165" s="349"/>
      <c r="M165" s="349"/>
      <c r="N165" s="349"/>
      <c r="O165" s="349"/>
      <c r="P165" s="349"/>
      <c r="Q165" s="350"/>
      <c r="R165" s="70"/>
      <c r="S165" s="4"/>
      <c r="T165" s="64"/>
    </row>
    <row r="166" spans="1:20" ht="5.25" customHeight="1" x14ac:dyDescent="0.25">
      <c r="A166" s="88"/>
      <c r="B166" s="122"/>
      <c r="C166" s="55"/>
      <c r="D166" s="124"/>
      <c r="E166" s="124"/>
      <c r="F166" s="124"/>
      <c r="G166" s="125"/>
      <c r="H166" s="342"/>
      <c r="I166" s="343"/>
      <c r="J166" s="343"/>
      <c r="K166" s="343"/>
      <c r="L166" s="343"/>
      <c r="M166" s="343"/>
      <c r="N166" s="343"/>
      <c r="O166" s="343"/>
      <c r="P166" s="343"/>
      <c r="Q166" s="344"/>
      <c r="R166" s="3"/>
      <c r="S166" s="3"/>
      <c r="T166" s="6"/>
    </row>
    <row r="167" spans="1:20" ht="50.1" customHeight="1" x14ac:dyDescent="0.25">
      <c r="A167" s="88"/>
      <c r="B167" s="126" t="str">
        <f>"9.13"</f>
        <v>9.13</v>
      </c>
      <c r="C167" s="354" t="str">
        <f>VLOOKUP(Vocabularies!B175,Vocabularies!$B$1:$G$358,Vocabularies!$J$2,0)</f>
        <v>Is the service and maintenance accomplished according to a planned schedule?</v>
      </c>
      <c r="D167" s="354"/>
      <c r="E167" s="354"/>
      <c r="F167" s="354"/>
      <c r="G167" s="355"/>
      <c r="H167" s="345"/>
      <c r="I167" s="346"/>
      <c r="J167" s="346"/>
      <c r="K167" s="346"/>
      <c r="L167" s="346"/>
      <c r="M167" s="346"/>
      <c r="N167" s="346"/>
      <c r="O167" s="346"/>
      <c r="P167" s="346"/>
      <c r="Q167" s="347"/>
      <c r="R167" s="74"/>
      <c r="S167" s="69" t="s">
        <v>156</v>
      </c>
      <c r="T167" s="62" t="str">
        <f>IF(S167=" ","",IF(S167="N/A","",IF(S167=2,"Green Grün",IF(S167=1,"Yellow Gelb",IF(S167=0,"Red Rot")))))</f>
        <v/>
      </c>
    </row>
    <row r="168" spans="1:20" ht="5.25" customHeight="1" x14ac:dyDescent="0.25">
      <c r="A168" s="148"/>
      <c r="B168" s="132"/>
      <c r="C168" s="63"/>
      <c r="D168" s="130"/>
      <c r="E168" s="130"/>
      <c r="F168" s="130"/>
      <c r="G168" s="131"/>
      <c r="H168" s="348"/>
      <c r="I168" s="349"/>
      <c r="J168" s="349"/>
      <c r="K168" s="349"/>
      <c r="L168" s="349"/>
      <c r="M168" s="349"/>
      <c r="N168" s="349"/>
      <c r="O168" s="349"/>
      <c r="P168" s="349"/>
      <c r="Q168" s="350"/>
      <c r="R168" s="4"/>
      <c r="S168" s="4"/>
      <c r="T168" s="7"/>
    </row>
    <row r="169" spans="1:20" ht="5.25" customHeight="1" x14ac:dyDescent="0.25">
      <c r="A169" s="88"/>
      <c r="B169" s="122"/>
      <c r="C169" s="145"/>
      <c r="D169" s="124"/>
      <c r="E169" s="124"/>
      <c r="F169" s="124"/>
      <c r="G169" s="125"/>
      <c r="H169" s="342"/>
      <c r="I169" s="343"/>
      <c r="J169" s="343"/>
      <c r="K169" s="343"/>
      <c r="L169" s="343"/>
      <c r="M169" s="343"/>
      <c r="N169" s="343"/>
      <c r="O169" s="343"/>
      <c r="P169" s="343"/>
      <c r="Q169" s="344"/>
      <c r="R169" s="3"/>
      <c r="S169" s="3"/>
      <c r="T169" s="6"/>
    </row>
    <row r="170" spans="1:20" ht="50.1" customHeight="1" x14ac:dyDescent="0.25">
      <c r="A170" s="88"/>
      <c r="B170" s="126" t="str">
        <f>"9.14"</f>
        <v>9.14</v>
      </c>
      <c r="C170" s="354" t="str">
        <f>VLOOKUP(Vocabularies!B176,Vocabularies!$B$1:$G$358,Vocabularies!$J$2,0)</f>
        <v>Are responsibilities for service and maintenance defined?</v>
      </c>
      <c r="D170" s="354"/>
      <c r="E170" s="354"/>
      <c r="F170" s="354"/>
      <c r="G170" s="355"/>
      <c r="H170" s="345"/>
      <c r="I170" s="346"/>
      <c r="J170" s="346"/>
      <c r="K170" s="346"/>
      <c r="L170" s="346"/>
      <c r="M170" s="346"/>
      <c r="N170" s="346"/>
      <c r="O170" s="346"/>
      <c r="P170" s="346"/>
      <c r="Q170" s="347"/>
      <c r="R170" s="74"/>
      <c r="S170" s="69" t="s">
        <v>156</v>
      </c>
      <c r="T170" s="62" t="str">
        <f>IF(S170=" ","",IF(S170="N/A","",IF(S170=2,"Green Grün",IF(S170=1,"Yellow Gelb",IF(S170=0,"Red Rot")))))</f>
        <v/>
      </c>
    </row>
    <row r="171" spans="1:20" ht="5.25" customHeight="1" x14ac:dyDescent="0.25">
      <c r="A171" s="148"/>
      <c r="B171" s="132"/>
      <c r="C171" s="63"/>
      <c r="D171" s="130"/>
      <c r="E171" s="130"/>
      <c r="F171" s="130"/>
      <c r="G171" s="131"/>
      <c r="H171" s="348"/>
      <c r="I171" s="349"/>
      <c r="J171" s="349"/>
      <c r="K171" s="349"/>
      <c r="L171" s="349"/>
      <c r="M171" s="349"/>
      <c r="N171" s="349"/>
      <c r="O171" s="349"/>
      <c r="P171" s="349"/>
      <c r="Q171" s="350"/>
      <c r="R171" s="4"/>
      <c r="S171" s="13"/>
      <c r="T171" s="7"/>
    </row>
    <row r="172" spans="1:20" ht="5.25" customHeight="1" x14ac:dyDescent="0.25">
      <c r="A172" s="88"/>
      <c r="B172" s="124"/>
      <c r="C172" s="124"/>
      <c r="D172" s="124"/>
      <c r="E172" s="124"/>
      <c r="F172" s="124"/>
      <c r="G172" s="125"/>
      <c r="H172" s="342"/>
      <c r="I172" s="343"/>
      <c r="J172" s="343"/>
      <c r="K172" s="343"/>
      <c r="L172" s="343"/>
      <c r="M172" s="343"/>
      <c r="N172" s="343"/>
      <c r="O172" s="343"/>
      <c r="P172" s="343"/>
      <c r="Q172" s="344"/>
      <c r="R172" s="3"/>
      <c r="S172" s="3"/>
      <c r="T172" s="6"/>
    </row>
    <row r="173" spans="1:20" ht="50.1" customHeight="1" x14ac:dyDescent="0.25">
      <c r="A173" s="88"/>
      <c r="B173" s="126" t="str">
        <f>"9.15"</f>
        <v>9.15</v>
      </c>
      <c r="C173" s="354" t="str">
        <f>VLOOKUP(Vocabularies!B177,Vocabularies!$B$1:$G$358,Vocabularies!$J$2,0)</f>
        <v xml:space="preserve">Do you consider the entire life cycle of means of production?  </v>
      </c>
      <c r="D173" s="354"/>
      <c r="E173" s="354"/>
      <c r="F173" s="354"/>
      <c r="G173" s="355"/>
      <c r="H173" s="345"/>
      <c r="I173" s="346"/>
      <c r="J173" s="346"/>
      <c r="K173" s="346"/>
      <c r="L173" s="346"/>
      <c r="M173" s="346"/>
      <c r="N173" s="346"/>
      <c r="O173" s="346"/>
      <c r="P173" s="346"/>
      <c r="Q173" s="347"/>
      <c r="R173" s="74"/>
      <c r="S173" s="69" t="s">
        <v>156</v>
      </c>
      <c r="T173" s="62" t="str">
        <f>IF(S173=" ","",IF(S173="N/A","",IF(S173=2,"Green Grün",IF(S173=1,"Yellow Gelb",IF(S173=0,"Red Rot")))))</f>
        <v/>
      </c>
    </row>
    <row r="174" spans="1:20" ht="5.25" customHeight="1" x14ac:dyDescent="0.25">
      <c r="A174" s="148"/>
      <c r="B174" s="132"/>
      <c r="C174" s="146"/>
      <c r="D174" s="146"/>
      <c r="E174" s="146"/>
      <c r="F174" s="146"/>
      <c r="G174" s="147"/>
      <c r="H174" s="348"/>
      <c r="I174" s="349"/>
      <c r="J174" s="349"/>
      <c r="K174" s="349"/>
      <c r="L174" s="349"/>
      <c r="M174" s="349"/>
      <c r="N174" s="349"/>
      <c r="O174" s="349"/>
      <c r="P174" s="349"/>
      <c r="Q174" s="350"/>
      <c r="R174" s="70"/>
      <c r="S174" s="4"/>
      <c r="T174" s="64"/>
    </row>
    <row r="175" spans="1:20" ht="17.399999999999999" x14ac:dyDescent="0.3">
      <c r="A175" s="118" t="s">
        <v>601</v>
      </c>
      <c r="B175" s="56" t="str">
        <f>VLOOKUP(Vocabularies!B178,Vocabularies!$B$1:$G$358,Vocabularies!$J$2,0)</f>
        <v>Control of monitoring and measuring devices</v>
      </c>
      <c r="C175" s="139"/>
      <c r="D175" s="139"/>
      <c r="E175" s="139"/>
      <c r="F175" s="139"/>
      <c r="G175" s="140"/>
      <c r="H175" s="351" t="str">
        <f>VLOOKUP(Vocabularies!B111,Vocabularies!$B$1:$G$358,Vocabularies!$J$2,0)</f>
        <v>Comments (in case of answers „&lt;2 or N/A“)</v>
      </c>
      <c r="I175" s="352"/>
      <c r="J175" s="352"/>
      <c r="K175" s="352"/>
      <c r="L175" s="352"/>
      <c r="M175" s="352"/>
      <c r="N175" s="352"/>
      <c r="O175" s="352"/>
      <c r="P175" s="352"/>
      <c r="Q175" s="353"/>
      <c r="R175" s="381" t="str">
        <f>VLOOKUP(Vocabularies!B4,Vocabularies!$B$1:$G$358,Vocabularies!$J$2,0)</f>
        <v>Assessment</v>
      </c>
      <c r="S175" s="382"/>
      <c r="T175" s="383"/>
    </row>
    <row r="176" spans="1:20" ht="5.25" customHeight="1" x14ac:dyDescent="0.25">
      <c r="A176" s="88"/>
      <c r="B176" s="124"/>
      <c r="C176" s="124"/>
      <c r="D176" s="124"/>
      <c r="E176" s="124"/>
      <c r="F176" s="124"/>
      <c r="G176" s="125"/>
      <c r="H176" s="342"/>
      <c r="I176" s="343"/>
      <c r="J176" s="343"/>
      <c r="K176" s="343"/>
      <c r="L176" s="343"/>
      <c r="M176" s="343"/>
      <c r="N176" s="343"/>
      <c r="O176" s="343"/>
      <c r="P176" s="343"/>
      <c r="Q176" s="344"/>
      <c r="R176" s="3"/>
      <c r="S176" s="3"/>
      <c r="T176" s="6"/>
    </row>
    <row r="177" spans="1:20" ht="50.1" customHeight="1" x14ac:dyDescent="0.25">
      <c r="A177" s="88"/>
      <c r="B177" s="126" t="str">
        <f>"10.1"</f>
        <v>10.1</v>
      </c>
      <c r="C177" s="354" t="str">
        <f>VLOOKUP(Vocabularies!B179,Vocabularies!$B$1:$G$358,Vocabularies!$J$2,0)</f>
        <v>Is there a process for the selection, use, application and inspection of instruments and equipment used for inspection, testing and monitoring?</v>
      </c>
      <c r="D177" s="354"/>
      <c r="E177" s="354"/>
      <c r="F177" s="354"/>
      <c r="G177" s="355"/>
      <c r="H177" s="345"/>
      <c r="I177" s="346"/>
      <c r="J177" s="346"/>
      <c r="K177" s="346"/>
      <c r="L177" s="346"/>
      <c r="M177" s="346"/>
      <c r="N177" s="346"/>
      <c r="O177" s="346"/>
      <c r="P177" s="346"/>
      <c r="Q177" s="347"/>
      <c r="R177" s="74"/>
      <c r="S177" s="69" t="s">
        <v>156</v>
      </c>
      <c r="T177" s="62" t="str">
        <f>IF(S177=" ","",IF(S177="N/A","",IF(S177=2,"Green Grün",IF(S177=1,"Yellow Gelb",IF(S177=0,"Red Rot")))))</f>
        <v/>
      </c>
    </row>
    <row r="178" spans="1:20" ht="5.25" customHeight="1" x14ac:dyDescent="0.25">
      <c r="A178" s="148"/>
      <c r="B178" s="132"/>
      <c r="C178" s="63"/>
      <c r="D178" s="130"/>
      <c r="E178" s="130"/>
      <c r="F178" s="130"/>
      <c r="G178" s="131"/>
      <c r="H178" s="348"/>
      <c r="I178" s="349"/>
      <c r="J178" s="349"/>
      <c r="K178" s="349"/>
      <c r="L178" s="349"/>
      <c r="M178" s="349"/>
      <c r="N178" s="349"/>
      <c r="O178" s="349"/>
      <c r="P178" s="349"/>
      <c r="Q178" s="350"/>
      <c r="R178" s="4"/>
      <c r="S178" s="4"/>
      <c r="T178" s="7"/>
    </row>
    <row r="179" spans="1:20" ht="5.25" customHeight="1" x14ac:dyDescent="0.25">
      <c r="A179" s="88"/>
      <c r="B179" s="122"/>
      <c r="C179" s="55"/>
      <c r="D179" s="124"/>
      <c r="E179" s="124"/>
      <c r="F179" s="124"/>
      <c r="G179" s="125"/>
      <c r="H179" s="342"/>
      <c r="I179" s="343"/>
      <c r="J179" s="343"/>
      <c r="K179" s="343"/>
      <c r="L179" s="343"/>
      <c r="M179" s="343"/>
      <c r="N179" s="343"/>
      <c r="O179" s="343"/>
      <c r="P179" s="343"/>
      <c r="Q179" s="344"/>
      <c r="R179" s="3"/>
      <c r="S179" s="3"/>
      <c r="T179" s="6"/>
    </row>
    <row r="180" spans="1:20" ht="50.1" customHeight="1" x14ac:dyDescent="0.25">
      <c r="A180" s="88"/>
      <c r="B180" s="126" t="str">
        <f>"10.2"</f>
        <v>10.2</v>
      </c>
      <c r="C180" s="354" t="str">
        <f>VLOOKUP(Vocabularies!B180,Vocabularies!$B$1:$G$358,Vocabularies!$J$2,0)</f>
        <v>Is the inspection and measuring equipment (used for the monitoring of product and process) calibrated on a regular basis?</v>
      </c>
      <c r="D180" s="354"/>
      <c r="E180" s="354"/>
      <c r="F180" s="354"/>
      <c r="G180" s="355"/>
      <c r="H180" s="345"/>
      <c r="I180" s="346"/>
      <c r="J180" s="346"/>
      <c r="K180" s="346"/>
      <c r="L180" s="346"/>
      <c r="M180" s="346"/>
      <c r="N180" s="346"/>
      <c r="O180" s="346"/>
      <c r="P180" s="346"/>
      <c r="Q180" s="347"/>
      <c r="R180" s="74"/>
      <c r="S180" s="69" t="s">
        <v>156</v>
      </c>
      <c r="T180" s="62" t="str">
        <f>IF(S180=" ","",IF(S180="N/A","",IF(S180=2,"Green Grün",IF(S180=1,"Yellow Gelb",IF(S180=0,"Red Rot")))))</f>
        <v/>
      </c>
    </row>
    <row r="181" spans="1:20" ht="5.25" customHeight="1" x14ac:dyDescent="0.25">
      <c r="A181" s="148"/>
      <c r="B181" s="132"/>
      <c r="C181" s="63"/>
      <c r="D181" s="130"/>
      <c r="E181" s="130"/>
      <c r="F181" s="130"/>
      <c r="G181" s="131"/>
      <c r="H181" s="348"/>
      <c r="I181" s="349"/>
      <c r="J181" s="349"/>
      <c r="K181" s="349"/>
      <c r="L181" s="349"/>
      <c r="M181" s="349"/>
      <c r="N181" s="349"/>
      <c r="O181" s="349"/>
      <c r="P181" s="349"/>
      <c r="Q181" s="350"/>
      <c r="R181" s="4"/>
      <c r="S181" s="4"/>
      <c r="T181" s="7"/>
    </row>
    <row r="182" spans="1:20" ht="5.25" customHeight="1" x14ac:dyDescent="0.25">
      <c r="A182" s="88"/>
      <c r="B182" s="122"/>
      <c r="C182" s="145"/>
      <c r="D182" s="124"/>
      <c r="E182" s="124"/>
      <c r="F182" s="124"/>
      <c r="G182" s="125"/>
      <c r="H182" s="342"/>
      <c r="I182" s="343"/>
      <c r="J182" s="343"/>
      <c r="K182" s="343"/>
      <c r="L182" s="343"/>
      <c r="M182" s="343"/>
      <c r="N182" s="343"/>
      <c r="O182" s="343"/>
      <c r="P182" s="343"/>
      <c r="Q182" s="344"/>
      <c r="R182" s="3"/>
      <c r="S182" s="3"/>
      <c r="T182" s="6"/>
    </row>
    <row r="183" spans="1:20" ht="50.1" customHeight="1" x14ac:dyDescent="0.25">
      <c r="A183" s="88"/>
      <c r="B183" s="126" t="str">
        <f>"10.3"</f>
        <v>10.3</v>
      </c>
      <c r="C183" s="354" t="str">
        <f>VLOOKUP(Vocabularies!B181,Vocabularies!$B$1:$G$358,Vocabularies!$J$2,0)</f>
        <v>Are records of calibration maintained?</v>
      </c>
      <c r="D183" s="354"/>
      <c r="E183" s="354"/>
      <c r="F183" s="354"/>
      <c r="G183" s="355"/>
      <c r="H183" s="345"/>
      <c r="I183" s="346"/>
      <c r="J183" s="346"/>
      <c r="K183" s="346"/>
      <c r="L183" s="346"/>
      <c r="M183" s="346"/>
      <c r="N183" s="346"/>
      <c r="O183" s="346"/>
      <c r="P183" s="346"/>
      <c r="Q183" s="347"/>
      <c r="R183" s="74"/>
      <c r="S183" s="69" t="s">
        <v>156</v>
      </c>
      <c r="T183" s="62" t="str">
        <f>IF(S183=" ","",IF(S183="N/A","",IF(S183=2,"Green Grün",IF(S183=1,"Yellow Gelb",IF(S183=0,"Red Rot")))))</f>
        <v/>
      </c>
    </row>
    <row r="184" spans="1:20" ht="5.25" customHeight="1" x14ac:dyDescent="0.25">
      <c r="A184" s="148"/>
      <c r="B184" s="132"/>
      <c r="C184" s="63"/>
      <c r="D184" s="130"/>
      <c r="E184" s="130"/>
      <c r="F184" s="130"/>
      <c r="G184" s="131"/>
      <c r="H184" s="348"/>
      <c r="I184" s="349"/>
      <c r="J184" s="349"/>
      <c r="K184" s="349"/>
      <c r="L184" s="349"/>
      <c r="M184" s="349"/>
      <c r="N184" s="349"/>
      <c r="O184" s="349"/>
      <c r="P184" s="349"/>
      <c r="Q184" s="350"/>
      <c r="R184" s="4"/>
      <c r="S184" s="13"/>
      <c r="T184" s="7"/>
    </row>
    <row r="185" spans="1:20" ht="5.25" customHeight="1" x14ac:dyDescent="0.25">
      <c r="A185" s="88"/>
      <c r="B185" s="124"/>
      <c r="C185" s="124"/>
      <c r="D185" s="124"/>
      <c r="E185" s="124"/>
      <c r="F185" s="124"/>
      <c r="G185" s="125"/>
      <c r="H185" s="342"/>
      <c r="I185" s="343"/>
      <c r="J185" s="343"/>
      <c r="K185" s="343"/>
      <c r="L185" s="343"/>
      <c r="M185" s="343"/>
      <c r="N185" s="343"/>
      <c r="O185" s="343"/>
      <c r="P185" s="343"/>
      <c r="Q185" s="344"/>
      <c r="R185" s="3"/>
      <c r="S185" s="3"/>
      <c r="T185" s="6"/>
    </row>
    <row r="186" spans="1:20" ht="50.1" customHeight="1" x14ac:dyDescent="0.25">
      <c r="A186" s="88"/>
      <c r="B186" s="126" t="str">
        <f>"10.4"</f>
        <v>10.4</v>
      </c>
      <c r="C186" s="354" t="str">
        <f>VLOOKUP(Vocabularies!B182,Vocabularies!$B$1:$G$358,Vocabularies!$J$2,0)</f>
        <v>Is the measuring and test equipment calibrated under controlled conditions?</v>
      </c>
      <c r="D186" s="354"/>
      <c r="E186" s="354"/>
      <c r="F186" s="354"/>
      <c r="G186" s="355"/>
      <c r="H186" s="345"/>
      <c r="I186" s="346"/>
      <c r="J186" s="346"/>
      <c r="K186" s="346"/>
      <c r="L186" s="346"/>
      <c r="M186" s="346"/>
      <c r="N186" s="346"/>
      <c r="O186" s="346"/>
      <c r="P186" s="346"/>
      <c r="Q186" s="347"/>
      <c r="R186" s="74"/>
      <c r="S186" s="69" t="s">
        <v>156</v>
      </c>
      <c r="T186" s="62" t="str">
        <f>IF(S186=" ","",IF(S186="N/A","",IF(S186=2,"Green Grün",IF(S186=1,"Yellow Gelb",IF(S186=0,"Red Rot")))))</f>
        <v/>
      </c>
    </row>
    <row r="187" spans="1:20" ht="5.25" customHeight="1" x14ac:dyDescent="0.25">
      <c r="A187" s="148"/>
      <c r="B187" s="132"/>
      <c r="C187" s="146"/>
      <c r="D187" s="146"/>
      <c r="E187" s="146"/>
      <c r="F187" s="146"/>
      <c r="G187" s="147"/>
      <c r="H187" s="348"/>
      <c r="I187" s="349"/>
      <c r="J187" s="349"/>
      <c r="K187" s="349"/>
      <c r="L187" s="349"/>
      <c r="M187" s="349"/>
      <c r="N187" s="349"/>
      <c r="O187" s="349"/>
      <c r="P187" s="349"/>
      <c r="Q187" s="350"/>
      <c r="R187" s="70"/>
      <c r="S187" s="4"/>
      <c r="T187" s="64"/>
    </row>
    <row r="188" spans="1:20" ht="5.25" customHeight="1" x14ac:dyDescent="0.25">
      <c r="A188" s="88"/>
      <c r="B188" s="124"/>
      <c r="C188" s="124"/>
      <c r="D188" s="124"/>
      <c r="E188" s="124"/>
      <c r="F188" s="124"/>
      <c r="G188" s="125"/>
      <c r="H188" s="342"/>
      <c r="I188" s="343"/>
      <c r="J188" s="343"/>
      <c r="K188" s="343"/>
      <c r="L188" s="343"/>
      <c r="M188" s="343"/>
      <c r="N188" s="343"/>
      <c r="O188" s="343"/>
      <c r="P188" s="343"/>
      <c r="Q188" s="344"/>
      <c r="R188" s="3"/>
      <c r="S188" s="3"/>
      <c r="T188" s="6"/>
    </row>
    <row r="189" spans="1:20" ht="50.1" customHeight="1" x14ac:dyDescent="0.25">
      <c r="A189" s="88"/>
      <c r="B189" s="126" t="str">
        <f>"10.5"</f>
        <v>10.5</v>
      </c>
      <c r="C189" s="354" t="str">
        <f>VLOOKUP(Vocabularies!B183,Vocabularies!$B$1:$G$358,Vocabularies!$J$2,0)</f>
        <v>Is the capability of measuring &amp; test equipment evaluated?</v>
      </c>
      <c r="D189" s="354"/>
      <c r="E189" s="354"/>
      <c r="F189" s="354"/>
      <c r="G189" s="355"/>
      <c r="H189" s="345"/>
      <c r="I189" s="346"/>
      <c r="J189" s="346"/>
      <c r="K189" s="346"/>
      <c r="L189" s="346"/>
      <c r="M189" s="346"/>
      <c r="N189" s="346"/>
      <c r="O189" s="346"/>
      <c r="P189" s="346"/>
      <c r="Q189" s="347"/>
      <c r="R189" s="74"/>
      <c r="S189" s="69" t="s">
        <v>156</v>
      </c>
      <c r="T189" s="62" t="str">
        <f>IF(S189=" ","",IF(S189="N/A","",IF(S189=2,"Green Grün",IF(S189=1,"Yellow Gelb",IF(S189=0,"Red Rot")))))</f>
        <v/>
      </c>
    </row>
    <row r="190" spans="1:20" ht="5.25" customHeight="1" x14ac:dyDescent="0.25">
      <c r="A190" s="148"/>
      <c r="B190" s="132"/>
      <c r="C190" s="63"/>
      <c r="D190" s="130"/>
      <c r="E190" s="130"/>
      <c r="F190" s="130"/>
      <c r="G190" s="131"/>
      <c r="H190" s="348"/>
      <c r="I190" s="349"/>
      <c r="J190" s="349"/>
      <c r="K190" s="349"/>
      <c r="L190" s="349"/>
      <c r="M190" s="349"/>
      <c r="N190" s="349"/>
      <c r="O190" s="349"/>
      <c r="P190" s="349"/>
      <c r="Q190" s="350"/>
      <c r="R190" s="4"/>
      <c r="S190" s="4"/>
      <c r="T190" s="7"/>
    </row>
    <row r="191" spans="1:20" ht="17.399999999999999" x14ac:dyDescent="0.3">
      <c r="A191" s="118" t="s">
        <v>605</v>
      </c>
      <c r="B191" s="56" t="str">
        <f>VLOOKUP(Vocabularies!B184,Vocabularies!$B$1:$G$358,Vocabularies!$J$2,0)</f>
        <v>Measurement, analysis and improvement</v>
      </c>
      <c r="C191" s="139"/>
      <c r="D191" s="139"/>
      <c r="E191" s="139"/>
      <c r="F191" s="139"/>
      <c r="G191" s="140"/>
      <c r="H191" s="351" t="str">
        <f>VLOOKUP(Vocabularies!B111,Vocabularies!$B$1:$G$358,Vocabularies!$J$2,0)</f>
        <v>Comments (in case of answers „&lt;2 or N/A“)</v>
      </c>
      <c r="I191" s="352"/>
      <c r="J191" s="352"/>
      <c r="K191" s="352"/>
      <c r="L191" s="352"/>
      <c r="M191" s="352"/>
      <c r="N191" s="352"/>
      <c r="O191" s="352"/>
      <c r="P191" s="352"/>
      <c r="Q191" s="353"/>
      <c r="R191" s="381" t="str">
        <f>VLOOKUP(Vocabularies!B4,Vocabularies!$B$1:$G$358,Vocabularies!$J$2,0)</f>
        <v>Assessment</v>
      </c>
      <c r="S191" s="382"/>
      <c r="T191" s="383"/>
    </row>
    <row r="192" spans="1:20" ht="5.25" customHeight="1" x14ac:dyDescent="0.25">
      <c r="A192" s="88"/>
      <c r="B192" s="124"/>
      <c r="C192" s="124"/>
      <c r="D192" s="124"/>
      <c r="E192" s="124"/>
      <c r="F192" s="124"/>
      <c r="G192" s="125"/>
      <c r="H192" s="342"/>
      <c r="I192" s="343"/>
      <c r="J192" s="343"/>
      <c r="K192" s="343"/>
      <c r="L192" s="343"/>
      <c r="M192" s="343"/>
      <c r="N192" s="343"/>
      <c r="O192" s="343"/>
      <c r="P192" s="343"/>
      <c r="Q192" s="344"/>
      <c r="R192" s="3"/>
      <c r="S192" s="3"/>
      <c r="T192" s="6"/>
    </row>
    <row r="193" spans="1:20" ht="50.1" customHeight="1" x14ac:dyDescent="0.25">
      <c r="A193" s="88"/>
      <c r="B193" s="126" t="str">
        <f>"11.1"</f>
        <v>11.1</v>
      </c>
      <c r="C193" s="354" t="str">
        <f>VLOOKUP(Vocabularies!B185,Vocabularies!$B$1:$G$358,Vocabularies!$J$2,0)</f>
        <v>Are different statistical methods know and utilized throughout the organization?</v>
      </c>
      <c r="D193" s="354"/>
      <c r="E193" s="354"/>
      <c r="F193" s="354"/>
      <c r="G193" s="355"/>
      <c r="H193" s="345"/>
      <c r="I193" s="346"/>
      <c r="J193" s="346"/>
      <c r="K193" s="346"/>
      <c r="L193" s="346"/>
      <c r="M193" s="346"/>
      <c r="N193" s="346"/>
      <c r="O193" s="346"/>
      <c r="P193" s="346"/>
      <c r="Q193" s="347"/>
      <c r="R193" s="74"/>
      <c r="S193" s="69" t="s">
        <v>156</v>
      </c>
      <c r="T193" s="62" t="str">
        <f>IF(S193=" ","",IF(S193="N/A","",IF(S193=2,"Green Grün",IF(S193=1,"Yellow Gelb",IF(S193=0,"Red Rot")))))</f>
        <v/>
      </c>
    </row>
    <row r="194" spans="1:20" ht="5.25" customHeight="1" x14ac:dyDescent="0.25">
      <c r="A194" s="148"/>
      <c r="B194" s="132"/>
      <c r="C194" s="63"/>
      <c r="D194" s="130"/>
      <c r="E194" s="130"/>
      <c r="F194" s="130"/>
      <c r="G194" s="131"/>
      <c r="H194" s="348"/>
      <c r="I194" s="349"/>
      <c r="J194" s="349"/>
      <c r="K194" s="349"/>
      <c r="L194" s="349"/>
      <c r="M194" s="349"/>
      <c r="N194" s="349"/>
      <c r="O194" s="349"/>
      <c r="P194" s="349"/>
      <c r="Q194" s="350"/>
      <c r="R194" s="4"/>
      <c r="S194" s="4"/>
      <c r="T194" s="7"/>
    </row>
    <row r="195" spans="1:20" ht="5.25" customHeight="1" x14ac:dyDescent="0.25">
      <c r="A195" s="88"/>
      <c r="B195" s="122"/>
      <c r="C195" s="55"/>
      <c r="D195" s="124"/>
      <c r="E195" s="124"/>
      <c r="F195" s="124"/>
      <c r="G195" s="125"/>
      <c r="H195" s="342"/>
      <c r="I195" s="343"/>
      <c r="J195" s="343"/>
      <c r="K195" s="343"/>
      <c r="L195" s="343"/>
      <c r="M195" s="343"/>
      <c r="N195" s="343"/>
      <c r="O195" s="343"/>
      <c r="P195" s="343"/>
      <c r="Q195" s="344"/>
      <c r="R195" s="3"/>
      <c r="S195" s="3"/>
      <c r="T195" s="6"/>
    </row>
    <row r="196" spans="1:20" ht="50.1" customHeight="1" x14ac:dyDescent="0.25">
      <c r="A196" s="88"/>
      <c r="B196" s="126" t="str">
        <f>"11.2"</f>
        <v>11.2</v>
      </c>
      <c r="C196" s="354" t="str">
        <f>VLOOKUP(Vocabularies!B186,Vocabularies!$B$1:$G$358,Vocabularies!$J$2,0)</f>
        <v xml:space="preserve">Are statistical Process Control (SPC) used? </v>
      </c>
      <c r="D196" s="354"/>
      <c r="E196" s="354"/>
      <c r="F196" s="354"/>
      <c r="G196" s="355"/>
      <c r="H196" s="345"/>
      <c r="I196" s="346"/>
      <c r="J196" s="346"/>
      <c r="K196" s="346"/>
      <c r="L196" s="346"/>
      <c r="M196" s="346"/>
      <c r="N196" s="346"/>
      <c r="O196" s="346"/>
      <c r="P196" s="346"/>
      <c r="Q196" s="347"/>
      <c r="R196" s="74"/>
      <c r="S196" s="69" t="s">
        <v>156</v>
      </c>
      <c r="T196" s="62" t="str">
        <f>IF(S196=" ","",IF(S196="N/A","",IF(S196=2,"Green Grün",IF(S196=1,"Yellow Gelb",IF(S196=0,"Red Rot")))))</f>
        <v/>
      </c>
    </row>
    <row r="197" spans="1:20" ht="5.25" customHeight="1" x14ac:dyDescent="0.25">
      <c r="A197" s="148"/>
      <c r="B197" s="132"/>
      <c r="C197" s="63"/>
      <c r="D197" s="130"/>
      <c r="E197" s="130"/>
      <c r="F197" s="130"/>
      <c r="G197" s="131"/>
      <c r="H197" s="348"/>
      <c r="I197" s="349"/>
      <c r="J197" s="349"/>
      <c r="K197" s="349"/>
      <c r="L197" s="349"/>
      <c r="M197" s="349"/>
      <c r="N197" s="349"/>
      <c r="O197" s="349"/>
      <c r="P197" s="349"/>
      <c r="Q197" s="350"/>
      <c r="R197" s="4"/>
      <c r="S197" s="4"/>
      <c r="T197" s="7"/>
    </row>
    <row r="198" spans="1:20" ht="5.25" customHeight="1" x14ac:dyDescent="0.25">
      <c r="A198" s="88"/>
      <c r="B198" s="122"/>
      <c r="C198" s="145"/>
      <c r="D198" s="124"/>
      <c r="E198" s="124"/>
      <c r="F198" s="124"/>
      <c r="G198" s="125"/>
      <c r="H198" s="342"/>
      <c r="I198" s="343"/>
      <c r="J198" s="343"/>
      <c r="K198" s="343"/>
      <c r="L198" s="343"/>
      <c r="M198" s="343"/>
      <c r="N198" s="343"/>
      <c r="O198" s="343"/>
      <c r="P198" s="343"/>
      <c r="Q198" s="344"/>
      <c r="R198" s="3"/>
      <c r="S198" s="3"/>
      <c r="T198" s="6"/>
    </row>
    <row r="199" spans="1:20" ht="50.1" customHeight="1" x14ac:dyDescent="0.25">
      <c r="A199" s="88"/>
      <c r="B199" s="126" t="str">
        <f>"11.3"</f>
        <v>11.3</v>
      </c>
      <c r="C199" s="354" t="str">
        <f>VLOOKUP(Vocabularies!B187,Vocabularies!$B$1:$G$358,Vocabularies!$J$2,0)</f>
        <v>Are implemented corrective and improvement measures derived from statistical analysis of data and effectiveness examined?</v>
      </c>
      <c r="D199" s="354"/>
      <c r="E199" s="354"/>
      <c r="F199" s="354"/>
      <c r="G199" s="355"/>
      <c r="H199" s="345"/>
      <c r="I199" s="346"/>
      <c r="J199" s="346"/>
      <c r="K199" s="346"/>
      <c r="L199" s="346"/>
      <c r="M199" s="346"/>
      <c r="N199" s="346"/>
      <c r="O199" s="346"/>
      <c r="P199" s="346"/>
      <c r="Q199" s="347"/>
      <c r="R199" s="74"/>
      <c r="S199" s="69" t="s">
        <v>156</v>
      </c>
      <c r="T199" s="62" t="str">
        <f>IF(S199=" ","",IF(S199="N/A","",IF(S199=2,"Green Grün",IF(S199=1,"Yellow Gelb",IF(S199=0,"Red Rot")))))</f>
        <v/>
      </c>
    </row>
    <row r="200" spans="1:20" ht="5.25" customHeight="1" x14ac:dyDescent="0.25">
      <c r="A200" s="148"/>
      <c r="B200" s="132"/>
      <c r="C200" s="63"/>
      <c r="D200" s="130"/>
      <c r="E200" s="130"/>
      <c r="F200" s="130"/>
      <c r="G200" s="131"/>
      <c r="H200" s="348"/>
      <c r="I200" s="349"/>
      <c r="J200" s="349"/>
      <c r="K200" s="349"/>
      <c r="L200" s="349"/>
      <c r="M200" s="349"/>
      <c r="N200" s="349"/>
      <c r="O200" s="349"/>
      <c r="P200" s="349"/>
      <c r="Q200" s="350"/>
      <c r="R200" s="4"/>
      <c r="S200" s="13"/>
      <c r="T200" s="7"/>
    </row>
    <row r="201" spans="1:20" ht="5.25" customHeight="1" x14ac:dyDescent="0.25">
      <c r="A201" s="88"/>
      <c r="B201" s="124"/>
      <c r="C201" s="124"/>
      <c r="D201" s="124"/>
      <c r="E201" s="124"/>
      <c r="F201" s="124"/>
      <c r="G201" s="125"/>
      <c r="H201" s="342"/>
      <c r="I201" s="343"/>
      <c r="J201" s="343"/>
      <c r="K201" s="343"/>
      <c r="L201" s="343"/>
      <c r="M201" s="343"/>
      <c r="N201" s="343"/>
      <c r="O201" s="343"/>
      <c r="P201" s="343"/>
      <c r="Q201" s="344"/>
      <c r="R201" s="3"/>
      <c r="S201" s="3"/>
      <c r="T201" s="6"/>
    </row>
    <row r="202" spans="1:20" ht="50.1" customHeight="1" x14ac:dyDescent="0.25">
      <c r="A202" s="88"/>
      <c r="B202" s="126" t="str">
        <f>"11.4"</f>
        <v>11.4</v>
      </c>
      <c r="C202" s="354" t="str">
        <f>VLOOKUP(Vocabularies!B188,Vocabularies!$B$1:$G$358,Vocabularies!$J$2,0)</f>
        <v xml:space="preserve">Are methods concerning error-prevention used in the corrective action process? </v>
      </c>
      <c r="D202" s="354"/>
      <c r="E202" s="354"/>
      <c r="F202" s="354"/>
      <c r="G202" s="355"/>
      <c r="H202" s="345"/>
      <c r="I202" s="346"/>
      <c r="J202" s="346"/>
      <c r="K202" s="346"/>
      <c r="L202" s="346"/>
      <c r="M202" s="346"/>
      <c r="N202" s="346"/>
      <c r="O202" s="346"/>
      <c r="P202" s="346"/>
      <c r="Q202" s="347"/>
      <c r="R202" s="74"/>
      <c r="S202" s="69" t="s">
        <v>156</v>
      </c>
      <c r="T202" s="62" t="str">
        <f>IF(S202=" ","",IF(S202="N/A","",IF(S202=2,"Green Grün",IF(S202=1,"Yellow Gelb",IF(S202=0,"Red Rot")))))</f>
        <v/>
      </c>
    </row>
    <row r="203" spans="1:20" ht="5.25" customHeight="1" x14ac:dyDescent="0.25">
      <c r="A203" s="148"/>
      <c r="B203" s="132"/>
      <c r="C203" s="146"/>
      <c r="D203" s="146"/>
      <c r="E203" s="146"/>
      <c r="F203" s="146"/>
      <c r="G203" s="147"/>
      <c r="H203" s="348"/>
      <c r="I203" s="349"/>
      <c r="J203" s="349"/>
      <c r="K203" s="349"/>
      <c r="L203" s="349"/>
      <c r="M203" s="349"/>
      <c r="N203" s="349"/>
      <c r="O203" s="349"/>
      <c r="P203" s="349"/>
      <c r="Q203" s="350"/>
      <c r="R203" s="70"/>
      <c r="S203" s="4"/>
      <c r="T203" s="64"/>
    </row>
    <row r="204" spans="1:20" ht="5.25" customHeight="1" x14ac:dyDescent="0.25">
      <c r="A204" s="88"/>
      <c r="B204" s="124"/>
      <c r="C204" s="124"/>
      <c r="D204" s="124"/>
      <c r="E204" s="124"/>
      <c r="F204" s="124"/>
      <c r="G204" s="125"/>
      <c r="H204" s="342"/>
      <c r="I204" s="343"/>
      <c r="J204" s="343"/>
      <c r="K204" s="343"/>
      <c r="L204" s="343"/>
      <c r="M204" s="343"/>
      <c r="N204" s="343"/>
      <c r="O204" s="343"/>
      <c r="P204" s="343"/>
      <c r="Q204" s="344"/>
      <c r="R204" s="3"/>
      <c r="S204" s="3"/>
      <c r="T204" s="6"/>
    </row>
    <row r="205" spans="1:20" ht="50.1" customHeight="1" x14ac:dyDescent="0.25">
      <c r="A205" s="88"/>
      <c r="B205" s="126" t="str">
        <f>"11.5"</f>
        <v>11.5</v>
      </c>
      <c r="C205" s="354" t="str">
        <f>VLOOKUP(Vocabularies!B189,Vocabularies!$B$1:$G$358,Vocabularies!$J$2,0)</f>
        <v>Do you conduct capability studies?</v>
      </c>
      <c r="D205" s="354"/>
      <c r="E205" s="354"/>
      <c r="F205" s="354"/>
      <c r="G205" s="355"/>
      <c r="H205" s="345"/>
      <c r="I205" s="346"/>
      <c r="J205" s="346"/>
      <c r="K205" s="346"/>
      <c r="L205" s="346"/>
      <c r="M205" s="346"/>
      <c r="N205" s="346"/>
      <c r="O205" s="346"/>
      <c r="P205" s="346"/>
      <c r="Q205" s="347"/>
      <c r="R205" s="74"/>
      <c r="S205" s="69" t="s">
        <v>156</v>
      </c>
      <c r="T205" s="62" t="str">
        <f>IF(S205=" ","",IF(S205="N/A","",IF(S205=2,"Green Grün",IF(S205=1,"Yellow Gelb",IF(S205=0,"Red Rot")))))</f>
        <v/>
      </c>
    </row>
    <row r="206" spans="1:20" ht="5.25" customHeight="1" x14ac:dyDescent="0.25">
      <c r="A206" s="148"/>
      <c r="B206" s="132"/>
      <c r="C206" s="63"/>
      <c r="D206" s="130"/>
      <c r="E206" s="130"/>
      <c r="F206" s="130"/>
      <c r="G206" s="131"/>
      <c r="H206" s="348"/>
      <c r="I206" s="349"/>
      <c r="J206" s="349"/>
      <c r="K206" s="349"/>
      <c r="L206" s="349"/>
      <c r="M206" s="349"/>
      <c r="N206" s="349"/>
      <c r="O206" s="349"/>
      <c r="P206" s="349"/>
      <c r="Q206" s="350"/>
      <c r="R206" s="4"/>
      <c r="S206" s="4"/>
      <c r="T206" s="7"/>
    </row>
    <row r="207" spans="1:20" ht="5.25" customHeight="1" x14ac:dyDescent="0.25">
      <c r="A207" s="88"/>
      <c r="B207" s="122"/>
      <c r="C207" s="55"/>
      <c r="D207" s="124"/>
      <c r="E207" s="124"/>
      <c r="F207" s="124"/>
      <c r="G207" s="125"/>
      <c r="H207" s="342"/>
      <c r="I207" s="343"/>
      <c r="J207" s="343"/>
      <c r="K207" s="343"/>
      <c r="L207" s="343"/>
      <c r="M207" s="343"/>
      <c r="N207" s="343"/>
      <c r="O207" s="343"/>
      <c r="P207" s="343"/>
      <c r="Q207" s="344"/>
      <c r="R207" s="3"/>
      <c r="S207" s="3"/>
      <c r="T207" s="6"/>
    </row>
    <row r="208" spans="1:20" ht="50.1" customHeight="1" x14ac:dyDescent="0.25">
      <c r="A208" s="88"/>
      <c r="B208" s="126" t="str">
        <f>"11.6"</f>
        <v>11.6</v>
      </c>
      <c r="C208" s="354" t="str">
        <f>VLOOKUP(Vocabularies!B190,Vocabularies!$B$1:$G$358,Vocabularies!$J$2,0)</f>
        <v>Can you calculate the following capabilities: pp / ppk / cp / cpk?</v>
      </c>
      <c r="D208" s="354"/>
      <c r="E208" s="354"/>
      <c r="F208" s="354"/>
      <c r="G208" s="355"/>
      <c r="H208" s="345"/>
      <c r="I208" s="346"/>
      <c r="J208" s="346"/>
      <c r="K208" s="346"/>
      <c r="L208" s="346"/>
      <c r="M208" s="346"/>
      <c r="N208" s="346"/>
      <c r="O208" s="346"/>
      <c r="P208" s="346"/>
      <c r="Q208" s="347"/>
      <c r="R208" s="74"/>
      <c r="S208" s="69" t="s">
        <v>156</v>
      </c>
      <c r="T208" s="62" t="str">
        <f>IF(S208=" ","",IF(S208="N/A","",IF(S208=2,"Green Grün",IF(S208=1,"Yellow Gelb",IF(S208=0,"Red Rot")))))</f>
        <v/>
      </c>
    </row>
    <row r="209" spans="1:20" ht="5.25" customHeight="1" x14ac:dyDescent="0.25">
      <c r="A209" s="148"/>
      <c r="B209" s="132"/>
      <c r="C209" s="63"/>
      <c r="D209" s="130"/>
      <c r="E209" s="130"/>
      <c r="F209" s="130"/>
      <c r="G209" s="131"/>
      <c r="H209" s="348"/>
      <c r="I209" s="349"/>
      <c r="J209" s="349"/>
      <c r="K209" s="349"/>
      <c r="L209" s="349"/>
      <c r="M209" s="349"/>
      <c r="N209" s="349"/>
      <c r="O209" s="349"/>
      <c r="P209" s="349"/>
      <c r="Q209" s="350"/>
      <c r="R209" s="4"/>
      <c r="S209" s="4"/>
      <c r="T209" s="7"/>
    </row>
    <row r="210" spans="1:20" ht="17.399999999999999" x14ac:dyDescent="0.3">
      <c r="A210" s="118" t="s">
        <v>606</v>
      </c>
      <c r="B210" s="56" t="str">
        <f>VLOOKUP(Vocabularies!B191,Vocabularies!$B$1:$G$358,Vocabularies!$J$2,0)</f>
        <v>Monitoring and measurement</v>
      </c>
      <c r="C210" s="139"/>
      <c r="D210" s="139"/>
      <c r="E210" s="139"/>
      <c r="F210" s="139"/>
      <c r="G210" s="140"/>
      <c r="H210" s="351" t="str">
        <f>VLOOKUP(Vocabularies!B111,Vocabularies!$B$1:$G$358,Vocabularies!$J$2,0)</f>
        <v>Comments (in case of answers „&lt;2 or N/A“)</v>
      </c>
      <c r="I210" s="352"/>
      <c r="J210" s="352"/>
      <c r="K210" s="352"/>
      <c r="L210" s="352"/>
      <c r="M210" s="352"/>
      <c r="N210" s="352"/>
      <c r="O210" s="352"/>
      <c r="P210" s="352"/>
      <c r="Q210" s="353"/>
      <c r="R210" s="381" t="str">
        <f>VLOOKUP(Vocabularies!B4,Vocabularies!$B$1:$G$358,Vocabularies!$J$2,0)</f>
        <v>Assessment</v>
      </c>
      <c r="S210" s="382"/>
      <c r="T210" s="383"/>
    </row>
    <row r="211" spans="1:20" ht="5.25" customHeight="1" x14ac:dyDescent="0.25">
      <c r="A211" s="88"/>
      <c r="B211" s="124"/>
      <c r="C211" s="124"/>
      <c r="D211" s="124"/>
      <c r="E211" s="124"/>
      <c r="F211" s="124"/>
      <c r="G211" s="125"/>
      <c r="H211" s="342"/>
      <c r="I211" s="343"/>
      <c r="J211" s="343"/>
      <c r="K211" s="343"/>
      <c r="L211" s="343"/>
      <c r="M211" s="343"/>
      <c r="N211" s="343"/>
      <c r="O211" s="343"/>
      <c r="P211" s="343"/>
      <c r="Q211" s="344"/>
      <c r="R211" s="3"/>
      <c r="S211" s="3"/>
      <c r="T211" s="6"/>
    </row>
    <row r="212" spans="1:20" ht="50.1" customHeight="1" x14ac:dyDescent="0.25">
      <c r="A212" s="88"/>
      <c r="B212" s="126" t="str">
        <f>"12.1"</f>
        <v>12.1</v>
      </c>
      <c r="C212" s="354" t="str">
        <f>VLOOKUP(Vocabularies!B192,Vocabularies!$B$1:$G$358,Vocabularies!$J$2,0)</f>
        <v>Do you conduct internal quality audits on a regular basis – at least annually – in each functional area and for each process?</v>
      </c>
      <c r="D212" s="354"/>
      <c r="E212" s="354"/>
      <c r="F212" s="354"/>
      <c r="G212" s="355"/>
      <c r="H212" s="345"/>
      <c r="I212" s="346"/>
      <c r="J212" s="346"/>
      <c r="K212" s="346"/>
      <c r="L212" s="346"/>
      <c r="M212" s="346"/>
      <c r="N212" s="346"/>
      <c r="O212" s="346"/>
      <c r="P212" s="346"/>
      <c r="Q212" s="347"/>
      <c r="R212" s="74"/>
      <c r="S212" s="69" t="s">
        <v>156</v>
      </c>
      <c r="T212" s="62" t="str">
        <f>IF(S212=" ","",IF(S212="N/A","",IF(S212=2,"Green Grün",IF(S212=1,"Yellow Gelb",IF(S212=0,"Red Rot")))))</f>
        <v/>
      </c>
    </row>
    <row r="213" spans="1:20" ht="5.25" customHeight="1" x14ac:dyDescent="0.25">
      <c r="A213" s="148"/>
      <c r="B213" s="132"/>
      <c r="C213" s="63"/>
      <c r="D213" s="130"/>
      <c r="E213" s="130"/>
      <c r="F213" s="130"/>
      <c r="G213" s="131"/>
      <c r="H213" s="348"/>
      <c r="I213" s="349"/>
      <c r="J213" s="349"/>
      <c r="K213" s="349"/>
      <c r="L213" s="349"/>
      <c r="M213" s="349"/>
      <c r="N213" s="349"/>
      <c r="O213" s="349"/>
      <c r="P213" s="349"/>
      <c r="Q213" s="350"/>
      <c r="R213" s="4"/>
      <c r="S213" s="4"/>
      <c r="T213" s="7"/>
    </row>
    <row r="214" spans="1:20" ht="5.25" customHeight="1" x14ac:dyDescent="0.25">
      <c r="A214" s="88"/>
      <c r="B214" s="122"/>
      <c r="C214" s="55"/>
      <c r="D214" s="124"/>
      <c r="E214" s="124"/>
      <c r="F214" s="124"/>
      <c r="G214" s="125"/>
      <c r="H214" s="342"/>
      <c r="I214" s="343"/>
      <c r="J214" s="343"/>
      <c r="K214" s="343"/>
      <c r="L214" s="343"/>
      <c r="M214" s="343"/>
      <c r="N214" s="343"/>
      <c r="O214" s="343"/>
      <c r="P214" s="343"/>
      <c r="Q214" s="344"/>
      <c r="R214" s="3"/>
      <c r="S214" s="3"/>
      <c r="T214" s="6"/>
    </row>
    <row r="215" spans="1:20" ht="50.1" customHeight="1" x14ac:dyDescent="0.25">
      <c r="A215" s="88"/>
      <c r="B215" s="126" t="str">
        <f>"12.2"</f>
        <v>12.2</v>
      </c>
      <c r="C215" s="354" t="str">
        <f>VLOOKUP(Vocabularies!B193,Vocabularies!$B$1:$G$358,Vocabularies!$J$2,0)</f>
        <v>Do you conduct product - and process audits on a regular basis by qualified Auditors?</v>
      </c>
      <c r="D215" s="354"/>
      <c r="E215" s="354"/>
      <c r="F215" s="354"/>
      <c r="G215" s="355"/>
      <c r="H215" s="345"/>
      <c r="I215" s="346"/>
      <c r="J215" s="346"/>
      <c r="K215" s="346"/>
      <c r="L215" s="346"/>
      <c r="M215" s="346"/>
      <c r="N215" s="346"/>
      <c r="O215" s="346"/>
      <c r="P215" s="346"/>
      <c r="Q215" s="347"/>
      <c r="R215" s="74"/>
      <c r="S215" s="69" t="s">
        <v>156</v>
      </c>
      <c r="T215" s="62" t="str">
        <f>IF(S215=" ","",IF(S215="N/A","",IF(S215=2,"Green Grün",IF(S215=1,"Yellow Gelb",IF(S215=0,"Red Rot")))))</f>
        <v/>
      </c>
    </row>
    <row r="216" spans="1:20" ht="5.25" customHeight="1" x14ac:dyDescent="0.25">
      <c r="A216" s="148"/>
      <c r="B216" s="132"/>
      <c r="C216" s="63"/>
      <c r="D216" s="130"/>
      <c r="E216" s="130"/>
      <c r="F216" s="130"/>
      <c r="G216" s="131"/>
      <c r="H216" s="348"/>
      <c r="I216" s="349"/>
      <c r="J216" s="349"/>
      <c r="K216" s="349"/>
      <c r="L216" s="349"/>
      <c r="M216" s="349"/>
      <c r="N216" s="349"/>
      <c r="O216" s="349"/>
      <c r="P216" s="349"/>
      <c r="Q216" s="350"/>
      <c r="R216" s="4"/>
      <c r="S216" s="4"/>
      <c r="T216" s="7"/>
    </row>
    <row r="217" spans="1:20" ht="5.25" customHeight="1" x14ac:dyDescent="0.25">
      <c r="A217" s="88"/>
      <c r="B217" s="122"/>
      <c r="C217" s="145"/>
      <c r="D217" s="124"/>
      <c r="E217" s="124"/>
      <c r="F217" s="124"/>
      <c r="G217" s="125"/>
      <c r="H217" s="342"/>
      <c r="I217" s="343"/>
      <c r="J217" s="343"/>
      <c r="K217" s="343"/>
      <c r="L217" s="343"/>
      <c r="M217" s="343"/>
      <c r="N217" s="343"/>
      <c r="O217" s="343"/>
      <c r="P217" s="343"/>
      <c r="Q217" s="344"/>
      <c r="R217" s="3"/>
      <c r="S217" s="3"/>
      <c r="T217" s="6"/>
    </row>
    <row r="218" spans="1:20" ht="50.1" customHeight="1" x14ac:dyDescent="0.25">
      <c r="A218" s="88"/>
      <c r="B218" s="126" t="str">
        <f>"12.3"</f>
        <v>12.3</v>
      </c>
      <c r="C218" s="354" t="str">
        <f>VLOOKUP(Vocabularies!B194,Vocabularies!$B$1:$G$358,Vocabularies!$J$2,0)</f>
        <v>Is there an audit plan and is it followed?</v>
      </c>
      <c r="D218" s="354"/>
      <c r="E218" s="354"/>
      <c r="F218" s="354"/>
      <c r="G218" s="355"/>
      <c r="H218" s="345"/>
      <c r="I218" s="346"/>
      <c r="J218" s="346"/>
      <c r="K218" s="346"/>
      <c r="L218" s="346"/>
      <c r="M218" s="346"/>
      <c r="N218" s="346"/>
      <c r="O218" s="346"/>
      <c r="P218" s="346"/>
      <c r="Q218" s="347"/>
      <c r="R218" s="74"/>
      <c r="S218" s="69" t="s">
        <v>156</v>
      </c>
      <c r="T218" s="62" t="str">
        <f>IF(S218=" ","",IF(S218="N/A","",IF(S218=2,"Green Grün",IF(S218=1,"Yellow Gelb",IF(S218=0,"Red Rot")))))</f>
        <v/>
      </c>
    </row>
    <row r="219" spans="1:20" ht="5.25" customHeight="1" x14ac:dyDescent="0.25">
      <c r="A219" s="148"/>
      <c r="B219" s="132"/>
      <c r="C219" s="63"/>
      <c r="D219" s="130"/>
      <c r="E219" s="130"/>
      <c r="F219" s="130"/>
      <c r="G219" s="131"/>
      <c r="H219" s="348"/>
      <c r="I219" s="349"/>
      <c r="J219" s="349"/>
      <c r="K219" s="349"/>
      <c r="L219" s="349"/>
      <c r="M219" s="349"/>
      <c r="N219" s="349"/>
      <c r="O219" s="349"/>
      <c r="P219" s="349"/>
      <c r="Q219" s="350"/>
      <c r="R219" s="4"/>
      <c r="S219" s="13"/>
      <c r="T219" s="7"/>
    </row>
    <row r="220" spans="1:20" ht="5.25" customHeight="1" x14ac:dyDescent="0.25">
      <c r="A220" s="88"/>
      <c r="B220" s="124"/>
      <c r="C220" s="124"/>
      <c r="D220" s="124"/>
      <c r="E220" s="124"/>
      <c r="F220" s="124"/>
      <c r="G220" s="125"/>
      <c r="H220" s="342"/>
      <c r="I220" s="343"/>
      <c r="J220" s="343"/>
      <c r="K220" s="343"/>
      <c r="L220" s="343"/>
      <c r="M220" s="343"/>
      <c r="N220" s="343"/>
      <c r="O220" s="343"/>
      <c r="P220" s="343"/>
      <c r="Q220" s="344"/>
      <c r="R220" s="3"/>
      <c r="S220" s="3"/>
      <c r="T220" s="6"/>
    </row>
    <row r="221" spans="1:20" ht="50.1" customHeight="1" x14ac:dyDescent="0.25">
      <c r="A221" s="88"/>
      <c r="B221" s="126" t="str">
        <f>"12.4"</f>
        <v>12.4</v>
      </c>
      <c r="C221" s="354" t="str">
        <f>VLOOKUP(Vocabularies!B195,Vocabularies!$B$1:$G$358,Vocabularies!$J$2,0)</f>
        <v>Are audit results documented and communicated to the responsible persons?</v>
      </c>
      <c r="D221" s="354"/>
      <c r="E221" s="354"/>
      <c r="F221" s="354"/>
      <c r="G221" s="355"/>
      <c r="H221" s="345"/>
      <c r="I221" s="346"/>
      <c r="J221" s="346"/>
      <c r="K221" s="346"/>
      <c r="L221" s="346"/>
      <c r="M221" s="346"/>
      <c r="N221" s="346"/>
      <c r="O221" s="346"/>
      <c r="P221" s="346"/>
      <c r="Q221" s="347"/>
      <c r="R221" s="74"/>
      <c r="S221" s="69" t="s">
        <v>156</v>
      </c>
      <c r="T221" s="62" t="str">
        <f>IF(S221=" ","",IF(S221="N/A","",IF(S221=2,"Green Grün",IF(S221=1,"Yellow Gelb",IF(S221=0,"Red Rot")))))</f>
        <v/>
      </c>
    </row>
    <row r="222" spans="1:20" ht="5.25" customHeight="1" x14ac:dyDescent="0.25">
      <c r="A222" s="148"/>
      <c r="B222" s="132"/>
      <c r="C222" s="146"/>
      <c r="D222" s="146"/>
      <c r="E222" s="146"/>
      <c r="F222" s="146"/>
      <c r="G222" s="147"/>
      <c r="H222" s="348"/>
      <c r="I222" s="349"/>
      <c r="J222" s="349"/>
      <c r="K222" s="349"/>
      <c r="L222" s="349"/>
      <c r="M222" s="349"/>
      <c r="N222" s="349"/>
      <c r="O222" s="349"/>
      <c r="P222" s="349"/>
      <c r="Q222" s="350"/>
      <c r="R222" s="70"/>
      <c r="S222" s="4"/>
      <c r="T222" s="64"/>
    </row>
    <row r="223" spans="1:20" ht="5.25" customHeight="1" x14ac:dyDescent="0.25">
      <c r="A223" s="88"/>
      <c r="B223" s="124"/>
      <c r="C223" s="124"/>
      <c r="D223" s="124"/>
      <c r="E223" s="124"/>
      <c r="F223" s="124"/>
      <c r="G223" s="125"/>
      <c r="H223" s="342"/>
      <c r="I223" s="343"/>
      <c r="J223" s="343"/>
      <c r="K223" s="343"/>
      <c r="L223" s="343"/>
      <c r="M223" s="343"/>
      <c r="N223" s="343"/>
      <c r="O223" s="343"/>
      <c r="P223" s="343"/>
      <c r="Q223" s="344"/>
      <c r="R223" s="3"/>
      <c r="S223" s="3"/>
      <c r="T223" s="6"/>
    </row>
    <row r="224" spans="1:20" ht="50.1" customHeight="1" x14ac:dyDescent="0.25">
      <c r="A224" s="88"/>
      <c r="B224" s="126" t="str">
        <f>"12.5"</f>
        <v>12.5</v>
      </c>
      <c r="C224" s="354" t="str">
        <f>VLOOKUP(Vocabularies!B196,Vocabularies!$B$1:$G$358,Vocabularies!$J$2,0)</f>
        <v>Are the following issues defined for all  the tests? Measurement technology, Sampling frequency, Acceptance criteria, Reaction plans, if acceptance criteria are not fulfilled.</v>
      </c>
      <c r="D224" s="354"/>
      <c r="E224" s="354"/>
      <c r="F224" s="354"/>
      <c r="G224" s="355"/>
      <c r="H224" s="345"/>
      <c r="I224" s="346"/>
      <c r="J224" s="346"/>
      <c r="K224" s="346"/>
      <c r="L224" s="346"/>
      <c r="M224" s="346"/>
      <c r="N224" s="346"/>
      <c r="O224" s="346"/>
      <c r="P224" s="346"/>
      <c r="Q224" s="347"/>
      <c r="R224" s="74"/>
      <c r="S224" s="69" t="s">
        <v>156</v>
      </c>
      <c r="T224" s="62" t="str">
        <f>IF(S224=" ","",IF(S224="N/A","",IF(S224=2,"Green Grün",IF(S224=1,"Yellow Gelb",IF(S224=0,"Red Rot")))))</f>
        <v/>
      </c>
    </row>
    <row r="225" spans="1:20" ht="5.25" customHeight="1" x14ac:dyDescent="0.25">
      <c r="A225" s="148"/>
      <c r="B225" s="132"/>
      <c r="C225" s="63"/>
      <c r="D225" s="130"/>
      <c r="E225" s="130"/>
      <c r="F225" s="130"/>
      <c r="G225" s="131"/>
      <c r="H225" s="348"/>
      <c r="I225" s="349"/>
      <c r="J225" s="349"/>
      <c r="K225" s="349"/>
      <c r="L225" s="349"/>
      <c r="M225" s="349"/>
      <c r="N225" s="349"/>
      <c r="O225" s="349"/>
      <c r="P225" s="349"/>
      <c r="Q225" s="350"/>
      <c r="R225" s="4"/>
      <c r="S225" s="4"/>
      <c r="T225" s="7"/>
    </row>
    <row r="226" spans="1:20" ht="5.25" customHeight="1" x14ac:dyDescent="0.25">
      <c r="A226" s="88"/>
      <c r="B226" s="122"/>
      <c r="C226" s="55"/>
      <c r="D226" s="124"/>
      <c r="E226" s="124"/>
      <c r="F226" s="124"/>
      <c r="G226" s="125"/>
      <c r="H226" s="342"/>
      <c r="I226" s="343"/>
      <c r="J226" s="343"/>
      <c r="K226" s="343"/>
      <c r="L226" s="343"/>
      <c r="M226" s="343"/>
      <c r="N226" s="343"/>
      <c r="O226" s="343"/>
      <c r="P226" s="343"/>
      <c r="Q226" s="344"/>
      <c r="R226" s="3"/>
      <c r="S226" s="3"/>
      <c r="T226" s="6"/>
    </row>
    <row r="227" spans="1:20" ht="50.1" customHeight="1" x14ac:dyDescent="0.25">
      <c r="A227" s="88"/>
      <c r="B227" s="126" t="str">
        <f>"12.6"</f>
        <v>12.6</v>
      </c>
      <c r="C227" s="354" t="str">
        <f>VLOOKUP(Vocabularies!B197,Vocabularies!$B$1:$G$358,Vocabularies!$J$2,0)</f>
        <v>Are all the products requalified with complete measurement and functional tests and are the results recorded?</v>
      </c>
      <c r="D227" s="354"/>
      <c r="E227" s="354"/>
      <c r="F227" s="354"/>
      <c r="G227" s="355"/>
      <c r="H227" s="345"/>
      <c r="I227" s="346"/>
      <c r="J227" s="346"/>
      <c r="K227" s="346"/>
      <c r="L227" s="346"/>
      <c r="M227" s="346"/>
      <c r="N227" s="346"/>
      <c r="O227" s="346"/>
      <c r="P227" s="346"/>
      <c r="Q227" s="347"/>
      <c r="R227" s="74"/>
      <c r="S227" s="69" t="s">
        <v>156</v>
      </c>
      <c r="T227" s="62" t="str">
        <f>IF(S227=" ","",IF(S227="N/A","",IF(S227=2,"Green Grün",IF(S227=1,"Yellow Gelb",IF(S227=0,"Red Rot")))))</f>
        <v/>
      </c>
    </row>
    <row r="228" spans="1:20" ht="5.25" customHeight="1" x14ac:dyDescent="0.25">
      <c r="A228" s="148"/>
      <c r="B228" s="132"/>
      <c r="C228" s="63"/>
      <c r="D228" s="130"/>
      <c r="E228" s="130"/>
      <c r="F228" s="130"/>
      <c r="G228" s="131"/>
      <c r="H228" s="348"/>
      <c r="I228" s="349"/>
      <c r="J228" s="349"/>
      <c r="K228" s="349"/>
      <c r="L228" s="349"/>
      <c r="M228" s="349"/>
      <c r="N228" s="349"/>
      <c r="O228" s="349"/>
      <c r="P228" s="349"/>
      <c r="Q228" s="350"/>
      <c r="R228" s="4"/>
      <c r="S228" s="4"/>
      <c r="T228" s="7"/>
    </row>
    <row r="229" spans="1:20" ht="5.25" customHeight="1" x14ac:dyDescent="0.25">
      <c r="A229" s="88"/>
      <c r="B229" s="122"/>
      <c r="C229" s="55"/>
      <c r="D229" s="124"/>
      <c r="E229" s="124"/>
      <c r="F229" s="124"/>
      <c r="G229" s="125"/>
      <c r="H229" s="342"/>
      <c r="I229" s="343"/>
      <c r="J229" s="343"/>
      <c r="K229" s="343"/>
      <c r="L229" s="343"/>
      <c r="M229" s="343"/>
      <c r="N229" s="343"/>
      <c r="O229" s="343"/>
      <c r="P229" s="343"/>
      <c r="Q229" s="344"/>
      <c r="R229" s="3"/>
      <c r="S229" s="3"/>
      <c r="T229" s="6"/>
    </row>
    <row r="230" spans="1:20" ht="50.1" customHeight="1" x14ac:dyDescent="0.25">
      <c r="A230" s="88"/>
      <c r="B230" s="126" t="str">
        <f>"12.6"</f>
        <v>12.6</v>
      </c>
      <c r="C230" s="354" t="str">
        <f>VLOOKUP(Vocabularies!B198,Vocabularies!$B$1:$G$358,Vocabularies!$J$2,0)</f>
        <v>Are corrective measures implemented within 30 days and is their effectiveness evaluated?</v>
      </c>
      <c r="D230" s="354"/>
      <c r="E230" s="354"/>
      <c r="F230" s="354"/>
      <c r="G230" s="355"/>
      <c r="H230" s="345"/>
      <c r="I230" s="346"/>
      <c r="J230" s="346"/>
      <c r="K230" s="346"/>
      <c r="L230" s="346"/>
      <c r="M230" s="346"/>
      <c r="N230" s="346"/>
      <c r="O230" s="346"/>
      <c r="P230" s="346"/>
      <c r="Q230" s="347"/>
      <c r="R230" s="74"/>
      <c r="S230" s="69" t="s">
        <v>156</v>
      </c>
      <c r="T230" s="62" t="str">
        <f>IF(S230=" ","",IF(S230="N/A","",IF(S230=2,"Green Grün",IF(S230=1,"Yellow Gelb",IF(S230=0,"Red Rot")))))</f>
        <v/>
      </c>
    </row>
    <row r="231" spans="1:20" ht="5.25" customHeight="1" x14ac:dyDescent="0.25">
      <c r="A231" s="148"/>
      <c r="B231" s="132"/>
      <c r="C231" s="63"/>
      <c r="D231" s="130"/>
      <c r="E231" s="130"/>
      <c r="F231" s="130"/>
      <c r="G231" s="131"/>
      <c r="H231" s="348"/>
      <c r="I231" s="349"/>
      <c r="J231" s="349"/>
      <c r="K231" s="349"/>
      <c r="L231" s="349"/>
      <c r="M231" s="349"/>
      <c r="N231" s="349"/>
      <c r="O231" s="349"/>
      <c r="P231" s="349"/>
      <c r="Q231" s="350"/>
      <c r="R231" s="4"/>
      <c r="S231" s="4"/>
      <c r="T231" s="7"/>
    </row>
    <row r="232" spans="1:20" ht="17.399999999999999" x14ac:dyDescent="0.3">
      <c r="A232" s="118" t="s">
        <v>2</v>
      </c>
      <c r="B232" s="56" t="str">
        <f>VLOOKUP(Vocabularies!B199,Vocabularies!$B$1:$G$358,Vocabularies!$J$2,0)</f>
        <v>Control of nonconforming product</v>
      </c>
      <c r="C232" s="139"/>
      <c r="D232" s="139"/>
      <c r="E232" s="139"/>
      <c r="F232" s="139"/>
      <c r="G232" s="140"/>
      <c r="H232" s="351" t="str">
        <f>VLOOKUP(Vocabularies!B111,Vocabularies!$B$1:$G$358,Vocabularies!$J$2,0)</f>
        <v>Comments (in case of answers „&lt;2 or N/A“)</v>
      </c>
      <c r="I232" s="352"/>
      <c r="J232" s="352"/>
      <c r="K232" s="352"/>
      <c r="L232" s="352"/>
      <c r="M232" s="352"/>
      <c r="N232" s="352"/>
      <c r="O232" s="352"/>
      <c r="P232" s="352"/>
      <c r="Q232" s="353"/>
      <c r="R232" s="381" t="str">
        <f>VLOOKUP(Vocabularies!B4,Vocabularies!$B$1:$G$358,Vocabularies!$J$2,0)</f>
        <v>Assessment</v>
      </c>
      <c r="S232" s="382"/>
      <c r="T232" s="383"/>
    </row>
    <row r="233" spans="1:20" ht="5.25" customHeight="1" x14ac:dyDescent="0.25">
      <c r="A233" s="88"/>
      <c r="B233" s="124"/>
      <c r="C233" s="124"/>
      <c r="D233" s="124"/>
      <c r="E233" s="124"/>
      <c r="F233" s="124"/>
      <c r="G233" s="125"/>
      <c r="H233" s="342"/>
      <c r="I233" s="343"/>
      <c r="J233" s="343"/>
      <c r="K233" s="343"/>
      <c r="L233" s="343"/>
      <c r="M233" s="343"/>
      <c r="N233" s="343"/>
      <c r="O233" s="343"/>
      <c r="P233" s="343"/>
      <c r="Q233" s="344"/>
      <c r="R233" s="3"/>
      <c r="S233" s="3"/>
      <c r="T233" s="6"/>
    </row>
    <row r="234" spans="1:20" ht="50.1" customHeight="1" x14ac:dyDescent="0.25">
      <c r="A234" s="88"/>
      <c r="B234" s="126" t="str">
        <f>"13.1"</f>
        <v>13.1</v>
      </c>
      <c r="C234" s="354" t="str">
        <f>VLOOKUP(Vocabularies!B200,Vocabularies!$B$1:$G$358,Vocabularies!$J$2,0)</f>
        <v>Is it ensured that non-conforming product is identified &amp; controlled to prevent delivery to the customer?</v>
      </c>
      <c r="D234" s="354"/>
      <c r="E234" s="354"/>
      <c r="F234" s="354"/>
      <c r="G234" s="355"/>
      <c r="H234" s="345"/>
      <c r="I234" s="346"/>
      <c r="J234" s="346"/>
      <c r="K234" s="346"/>
      <c r="L234" s="346"/>
      <c r="M234" s="346"/>
      <c r="N234" s="346"/>
      <c r="O234" s="346"/>
      <c r="P234" s="346"/>
      <c r="Q234" s="347"/>
      <c r="R234" s="74"/>
      <c r="S234" s="69" t="s">
        <v>156</v>
      </c>
      <c r="T234" s="62" t="str">
        <f>IF(S234=" ","",IF(S234="N/A","",IF(S234=2,"Green Grün",IF(S234=1,"Yellow Gelb",IF(S234=0,"Red Rot")))))</f>
        <v/>
      </c>
    </row>
    <row r="235" spans="1:20" ht="5.25" customHeight="1" x14ac:dyDescent="0.25">
      <c r="A235" s="148"/>
      <c r="B235" s="132"/>
      <c r="C235" s="63"/>
      <c r="D235" s="130"/>
      <c r="E235" s="130"/>
      <c r="F235" s="130"/>
      <c r="G235" s="131"/>
      <c r="H235" s="348"/>
      <c r="I235" s="349"/>
      <c r="J235" s="349"/>
      <c r="K235" s="349"/>
      <c r="L235" s="349"/>
      <c r="M235" s="349"/>
      <c r="N235" s="349"/>
      <c r="O235" s="349"/>
      <c r="P235" s="349"/>
      <c r="Q235" s="350"/>
      <c r="R235" s="4"/>
      <c r="S235" s="4"/>
      <c r="T235" s="7"/>
    </row>
    <row r="236" spans="1:20" ht="5.25" customHeight="1" x14ac:dyDescent="0.25">
      <c r="A236" s="88"/>
      <c r="B236" s="122"/>
      <c r="C236" s="55"/>
      <c r="D236" s="124"/>
      <c r="E236" s="124"/>
      <c r="F236" s="124"/>
      <c r="G236" s="125"/>
      <c r="H236" s="342"/>
      <c r="I236" s="343"/>
      <c r="J236" s="343"/>
      <c r="K236" s="343"/>
      <c r="L236" s="343"/>
      <c r="M236" s="343"/>
      <c r="N236" s="343"/>
      <c r="O236" s="343"/>
      <c r="P236" s="343"/>
      <c r="Q236" s="344"/>
      <c r="R236" s="3"/>
      <c r="S236" s="3"/>
      <c r="T236" s="6"/>
    </row>
    <row r="237" spans="1:20" ht="50.1" customHeight="1" x14ac:dyDescent="0.25">
      <c r="A237" s="88"/>
      <c r="B237" s="126" t="str">
        <f>"13.2"</f>
        <v>13.2</v>
      </c>
      <c r="C237" s="354" t="str">
        <f>VLOOKUP(Vocabularies!B201,Vocabularies!$B$1:$G$358,Vocabularies!$J$2,0)</f>
        <v>Is it ensured that non-conforming product is not delivered to the customer without customer authorization?</v>
      </c>
      <c r="D237" s="354"/>
      <c r="E237" s="354"/>
      <c r="F237" s="354"/>
      <c r="G237" s="355"/>
      <c r="H237" s="345"/>
      <c r="I237" s="346"/>
      <c r="J237" s="346"/>
      <c r="K237" s="346"/>
      <c r="L237" s="346"/>
      <c r="M237" s="346"/>
      <c r="N237" s="346"/>
      <c r="O237" s="346"/>
      <c r="P237" s="346"/>
      <c r="Q237" s="347"/>
      <c r="R237" s="74"/>
      <c r="S237" s="69" t="s">
        <v>156</v>
      </c>
      <c r="T237" s="62" t="str">
        <f>IF(S237=" ","",IF(S237="N/A","",IF(S237=2,"Green Grün",IF(S237=1,"Yellow Gelb",IF(S237=0,"Red Rot")))))</f>
        <v/>
      </c>
    </row>
    <row r="238" spans="1:20" ht="5.25" customHeight="1" x14ac:dyDescent="0.25">
      <c r="A238" s="148"/>
      <c r="B238" s="132"/>
      <c r="C238" s="63"/>
      <c r="D238" s="130"/>
      <c r="E238" s="130"/>
      <c r="F238" s="130"/>
      <c r="G238" s="131"/>
      <c r="H238" s="348"/>
      <c r="I238" s="349"/>
      <c r="J238" s="349"/>
      <c r="K238" s="349"/>
      <c r="L238" s="349"/>
      <c r="M238" s="349"/>
      <c r="N238" s="349"/>
      <c r="O238" s="349"/>
      <c r="P238" s="349"/>
      <c r="Q238" s="350"/>
      <c r="R238" s="4"/>
      <c r="S238" s="4"/>
      <c r="T238" s="7"/>
    </row>
    <row r="239" spans="1:20" ht="5.25" customHeight="1" x14ac:dyDescent="0.25">
      <c r="A239" s="88"/>
      <c r="B239" s="122"/>
      <c r="C239" s="145"/>
      <c r="D239" s="124"/>
      <c r="E239" s="124"/>
      <c r="F239" s="124"/>
      <c r="G239" s="125"/>
      <c r="H239" s="342"/>
      <c r="I239" s="343"/>
      <c r="J239" s="343"/>
      <c r="K239" s="343"/>
      <c r="L239" s="343"/>
      <c r="M239" s="343"/>
      <c r="N239" s="343"/>
      <c r="O239" s="343"/>
      <c r="P239" s="343"/>
      <c r="Q239" s="344"/>
      <c r="R239" s="3"/>
      <c r="S239" s="3"/>
      <c r="T239" s="6"/>
    </row>
    <row r="240" spans="1:20" ht="50.1" customHeight="1" x14ac:dyDescent="0.25">
      <c r="A240" s="88"/>
      <c r="B240" s="126" t="str">
        <f>"13.3"</f>
        <v>13.3</v>
      </c>
      <c r="C240" s="354" t="str">
        <f>VLOOKUP(Vocabularies!B202,Vocabularies!$B$1:$G$358,Vocabularies!$J$2,0)</f>
        <v>Is there a system for handling of customer complaints?</v>
      </c>
      <c r="D240" s="354"/>
      <c r="E240" s="354"/>
      <c r="F240" s="354"/>
      <c r="G240" s="355"/>
      <c r="H240" s="345"/>
      <c r="I240" s="346"/>
      <c r="J240" s="346"/>
      <c r="K240" s="346"/>
      <c r="L240" s="346"/>
      <c r="M240" s="346"/>
      <c r="N240" s="346"/>
      <c r="O240" s="346"/>
      <c r="P240" s="346"/>
      <c r="Q240" s="347"/>
      <c r="R240" s="74"/>
      <c r="S240" s="69" t="s">
        <v>156</v>
      </c>
      <c r="T240" s="62" t="str">
        <f>IF(S240=" ","",IF(S240="N/A","",IF(S240=2,"Green Grün",IF(S240=1,"Yellow Gelb",IF(S240=0,"Red Rot")))))</f>
        <v/>
      </c>
    </row>
    <row r="241" spans="1:20" ht="5.25" customHeight="1" x14ac:dyDescent="0.25">
      <c r="A241" s="148"/>
      <c r="B241" s="132"/>
      <c r="C241" s="63"/>
      <c r="D241" s="130"/>
      <c r="E241" s="130"/>
      <c r="F241" s="130"/>
      <c r="G241" s="131"/>
      <c r="H241" s="348"/>
      <c r="I241" s="349"/>
      <c r="J241" s="349"/>
      <c r="K241" s="349"/>
      <c r="L241" s="349"/>
      <c r="M241" s="349"/>
      <c r="N241" s="349"/>
      <c r="O241" s="349"/>
      <c r="P241" s="349"/>
      <c r="Q241" s="350"/>
      <c r="R241" s="4"/>
      <c r="S241" s="13"/>
      <c r="T241" s="7"/>
    </row>
    <row r="242" spans="1:20" ht="5.25" customHeight="1" x14ac:dyDescent="0.25">
      <c r="A242" s="88"/>
      <c r="B242" s="124"/>
      <c r="C242" s="124"/>
      <c r="D242" s="124"/>
      <c r="E242" s="124"/>
      <c r="F242" s="124"/>
      <c r="G242" s="125"/>
      <c r="H242" s="342"/>
      <c r="I242" s="343"/>
      <c r="J242" s="343"/>
      <c r="K242" s="343"/>
      <c r="L242" s="343"/>
      <c r="M242" s="343"/>
      <c r="N242" s="343"/>
      <c r="O242" s="343"/>
      <c r="P242" s="343"/>
      <c r="Q242" s="344"/>
      <c r="R242" s="3"/>
      <c r="S242" s="3"/>
      <c r="T242" s="6"/>
    </row>
    <row r="243" spans="1:20" ht="50.1" customHeight="1" x14ac:dyDescent="0.25">
      <c r="A243" s="88"/>
      <c r="B243" s="126" t="str">
        <f>"13.4"</f>
        <v>13.4</v>
      </c>
      <c r="C243" s="354" t="str">
        <f>VLOOKUP(Vocabularies!B203,Vocabularies!$B$1:$G$358,Vocabularies!$J$2,0)</f>
        <v>Is there an active “Feedback- System” regarding corrective and improvement activities – i.e.  8-D Reports?</v>
      </c>
      <c r="D243" s="354"/>
      <c r="E243" s="354"/>
      <c r="F243" s="354"/>
      <c r="G243" s="355"/>
      <c r="H243" s="345"/>
      <c r="I243" s="346"/>
      <c r="J243" s="346"/>
      <c r="K243" s="346"/>
      <c r="L243" s="346"/>
      <c r="M243" s="346"/>
      <c r="N243" s="346"/>
      <c r="O243" s="346"/>
      <c r="P243" s="346"/>
      <c r="Q243" s="347"/>
      <c r="R243" s="74"/>
      <c r="S243" s="69" t="s">
        <v>156</v>
      </c>
      <c r="T243" s="62" t="str">
        <f>IF(S243=" ","",IF(S243="N/A","",IF(S243=2,"Green Grün",IF(S243=1,"Yellow Gelb",IF(S243=0,"Red Rot")))))</f>
        <v/>
      </c>
    </row>
    <row r="244" spans="1:20" ht="5.25" customHeight="1" x14ac:dyDescent="0.25">
      <c r="A244" s="148"/>
      <c r="B244" s="132"/>
      <c r="C244" s="146"/>
      <c r="D244" s="146"/>
      <c r="E244" s="146"/>
      <c r="F244" s="146"/>
      <c r="G244" s="147"/>
      <c r="H244" s="348"/>
      <c r="I244" s="349"/>
      <c r="J244" s="349"/>
      <c r="K244" s="349"/>
      <c r="L244" s="349"/>
      <c r="M244" s="349"/>
      <c r="N244" s="349"/>
      <c r="O244" s="349"/>
      <c r="P244" s="349"/>
      <c r="Q244" s="350"/>
      <c r="R244" s="70"/>
      <c r="S244" s="4"/>
      <c r="T244" s="64"/>
    </row>
    <row r="245" spans="1:20" ht="17.399999999999999" x14ac:dyDescent="0.3">
      <c r="A245" s="118">
        <v>14</v>
      </c>
      <c r="B245" s="56" t="str">
        <f>VLOOKUP(Vocabularies!B204,Vocabularies!$B$1:$G$358,Vocabularies!$J$2,0)</f>
        <v>Analysis of data</v>
      </c>
      <c r="C245" s="139"/>
      <c r="D245" s="139"/>
      <c r="E245" s="139"/>
      <c r="F245" s="139"/>
      <c r="G245" s="140"/>
      <c r="H245" s="351" t="str">
        <f>VLOOKUP(Vocabularies!B111,Vocabularies!$B$1:$G$358,Vocabularies!$J$2,0)</f>
        <v>Comments (in case of answers „&lt;2 or N/A“)</v>
      </c>
      <c r="I245" s="352"/>
      <c r="J245" s="352"/>
      <c r="K245" s="352"/>
      <c r="L245" s="352"/>
      <c r="M245" s="352"/>
      <c r="N245" s="352"/>
      <c r="O245" s="352"/>
      <c r="P245" s="352"/>
      <c r="Q245" s="353"/>
      <c r="R245" s="381" t="str">
        <f>VLOOKUP(Vocabularies!B4,Vocabularies!$B$1:$G$358,Vocabularies!$J$2,0)</f>
        <v>Assessment</v>
      </c>
      <c r="S245" s="382"/>
      <c r="T245" s="383"/>
    </row>
    <row r="246" spans="1:20" ht="5.25" customHeight="1" x14ac:dyDescent="0.25">
      <c r="A246" s="88"/>
      <c r="B246" s="124"/>
      <c r="C246" s="124"/>
      <c r="D246" s="124"/>
      <c r="E246" s="124"/>
      <c r="F246" s="124"/>
      <c r="G246" s="125"/>
      <c r="H246" s="342"/>
      <c r="I246" s="343"/>
      <c r="J246" s="343"/>
      <c r="K246" s="343"/>
      <c r="L246" s="343"/>
      <c r="M246" s="343"/>
      <c r="N246" s="343"/>
      <c r="O246" s="343"/>
      <c r="P246" s="343"/>
      <c r="Q246" s="344"/>
      <c r="R246" s="3"/>
      <c r="S246" s="3"/>
      <c r="T246" s="6"/>
    </row>
    <row r="247" spans="1:20" ht="50.1" customHeight="1" x14ac:dyDescent="0.25">
      <c r="A247" s="88"/>
      <c r="B247" s="126" t="str">
        <f>"14.1"</f>
        <v>14.1</v>
      </c>
      <c r="C247" s="354" t="str">
        <f>VLOOKUP(Vocabularies!B205,Vocabularies!$B$1:$G$358,Vocabularies!$J$2,0)</f>
        <v>Is data analyzed on a regular basis to compare trends in quality and performance with the business goals?</v>
      </c>
      <c r="D247" s="354"/>
      <c r="E247" s="354"/>
      <c r="F247" s="354"/>
      <c r="G247" s="355"/>
      <c r="H247" s="345"/>
      <c r="I247" s="346"/>
      <c r="J247" s="346"/>
      <c r="K247" s="346"/>
      <c r="L247" s="346"/>
      <c r="M247" s="346"/>
      <c r="N247" s="346"/>
      <c r="O247" s="346"/>
      <c r="P247" s="346"/>
      <c r="Q247" s="347"/>
      <c r="R247" s="74"/>
      <c r="S247" s="69" t="s">
        <v>156</v>
      </c>
      <c r="T247" s="62" t="str">
        <f>IF(S247=" ","",IF(S247="N/A","",IF(S247=2,"Green Grün",IF(S247=1,"Yellow Gelb",IF(S247=0,"Red Rot")))))</f>
        <v/>
      </c>
    </row>
    <row r="248" spans="1:20" ht="5.25" customHeight="1" x14ac:dyDescent="0.25">
      <c r="A248" s="148"/>
      <c r="B248" s="132"/>
      <c r="C248" s="63"/>
      <c r="D248" s="130"/>
      <c r="E248" s="130"/>
      <c r="F248" s="130"/>
      <c r="G248" s="131"/>
      <c r="H248" s="348"/>
      <c r="I248" s="349"/>
      <c r="J248" s="349"/>
      <c r="K248" s="349"/>
      <c r="L248" s="349"/>
      <c r="M248" s="349"/>
      <c r="N248" s="349"/>
      <c r="O248" s="349"/>
      <c r="P248" s="349"/>
      <c r="Q248" s="350"/>
      <c r="R248" s="4"/>
      <c r="S248" s="4"/>
      <c r="T248" s="7"/>
    </row>
    <row r="249" spans="1:20" ht="17.399999999999999" x14ac:dyDescent="0.3">
      <c r="A249" s="118" t="s">
        <v>1099</v>
      </c>
      <c r="B249" s="56" t="str">
        <f>VLOOKUP(Vocabularies!B206,Vocabularies!$B$1:$G$358,Vocabularies!$J$2,0)</f>
        <v>Improvement</v>
      </c>
      <c r="C249" s="139"/>
      <c r="D249" s="139"/>
      <c r="E249" s="139"/>
      <c r="F249" s="139"/>
      <c r="G249" s="140"/>
      <c r="H249" s="351" t="str">
        <f>VLOOKUP(Vocabularies!B111,Vocabularies!$B$1:$G$358,Vocabularies!$J$2,0)</f>
        <v>Comments (in case of answers „&lt;2 or N/A“)</v>
      </c>
      <c r="I249" s="352"/>
      <c r="J249" s="352"/>
      <c r="K249" s="352"/>
      <c r="L249" s="352"/>
      <c r="M249" s="352"/>
      <c r="N249" s="352"/>
      <c r="O249" s="352"/>
      <c r="P249" s="352"/>
      <c r="Q249" s="353"/>
      <c r="R249" s="381" t="str">
        <f>VLOOKUP(Vocabularies!B4,Vocabularies!$B$1:$G$358,Vocabularies!$J$2,0)</f>
        <v>Assessment</v>
      </c>
      <c r="S249" s="382"/>
      <c r="T249" s="383"/>
    </row>
    <row r="250" spans="1:20" ht="5.25" customHeight="1" x14ac:dyDescent="0.25">
      <c r="A250" s="88"/>
      <c r="B250" s="122"/>
      <c r="C250" s="55"/>
      <c r="D250" s="124"/>
      <c r="E250" s="124"/>
      <c r="F250" s="124"/>
      <c r="G250" s="125"/>
      <c r="H250" s="342"/>
      <c r="I250" s="343"/>
      <c r="J250" s="343"/>
      <c r="K250" s="343"/>
      <c r="L250" s="343"/>
      <c r="M250" s="343"/>
      <c r="N250" s="343"/>
      <c r="O250" s="343"/>
      <c r="P250" s="343"/>
      <c r="Q250" s="344"/>
      <c r="R250" s="3"/>
      <c r="S250" s="3"/>
      <c r="T250" s="6"/>
    </row>
    <row r="251" spans="1:20" ht="50.1" customHeight="1" x14ac:dyDescent="0.25">
      <c r="A251" s="88"/>
      <c r="B251" s="126" t="str">
        <f>"15.1"</f>
        <v>15.1</v>
      </c>
      <c r="C251" s="354" t="str">
        <f>VLOOKUP(Vocabularies!B207,Vocabularies!$B$1:$G$358,Vocabularies!$J$2,0)</f>
        <v>Does the organisation continually strive to improve with respect to quality, costs and effectiveness?</v>
      </c>
      <c r="D251" s="354"/>
      <c r="E251" s="354"/>
      <c r="F251" s="354"/>
      <c r="G251" s="355"/>
      <c r="H251" s="345"/>
      <c r="I251" s="346"/>
      <c r="J251" s="346"/>
      <c r="K251" s="346"/>
      <c r="L251" s="346"/>
      <c r="M251" s="346"/>
      <c r="N251" s="346"/>
      <c r="O251" s="346"/>
      <c r="P251" s="346"/>
      <c r="Q251" s="347"/>
      <c r="R251" s="74"/>
      <c r="S251" s="69" t="s">
        <v>156</v>
      </c>
      <c r="T251" s="62" t="str">
        <f>IF(S251=" ","",IF(S251="N/A","",IF(S251=2,"Green Grün",IF(S251=1,"Yellow Gelb",IF(S251=0,"Red Rot")))))</f>
        <v/>
      </c>
    </row>
    <row r="252" spans="1:20" ht="5.25" customHeight="1" x14ac:dyDescent="0.25">
      <c r="A252" s="148"/>
      <c r="B252" s="132"/>
      <c r="C252" s="63"/>
      <c r="D252" s="130"/>
      <c r="E252" s="130"/>
      <c r="F252" s="130"/>
      <c r="G252" s="131"/>
      <c r="H252" s="348"/>
      <c r="I252" s="349"/>
      <c r="J252" s="349"/>
      <c r="K252" s="349"/>
      <c r="L252" s="349"/>
      <c r="M252" s="349"/>
      <c r="N252" s="349"/>
      <c r="O252" s="349"/>
      <c r="P252" s="349"/>
      <c r="Q252" s="350"/>
      <c r="R252" s="4"/>
      <c r="S252" s="4"/>
      <c r="T252" s="7"/>
    </row>
    <row r="253" spans="1:20" ht="5.25" customHeight="1" x14ac:dyDescent="0.25">
      <c r="A253" s="88"/>
      <c r="B253" s="122"/>
      <c r="C253" s="145"/>
      <c r="D253" s="124"/>
      <c r="E253" s="124"/>
      <c r="F253" s="124"/>
      <c r="G253" s="125"/>
      <c r="H253" s="342"/>
      <c r="I253" s="343"/>
      <c r="J253" s="343"/>
      <c r="K253" s="343"/>
      <c r="L253" s="343"/>
      <c r="M253" s="343"/>
      <c r="N253" s="343"/>
      <c r="O253" s="343"/>
      <c r="P253" s="343"/>
      <c r="Q253" s="344"/>
      <c r="R253" s="3"/>
      <c r="S253" s="3"/>
      <c r="T253" s="6"/>
    </row>
    <row r="254" spans="1:20" ht="50.1" customHeight="1" x14ac:dyDescent="0.25">
      <c r="A254" s="88"/>
      <c r="B254" s="126" t="str">
        <f>"15.2"</f>
        <v>15.2</v>
      </c>
      <c r="C254" s="354" t="str">
        <f>VLOOKUP(Vocabularies!B208,Vocabularies!$B$1:$G$358,Vocabularies!$J$2,0)</f>
        <v>Are such activities accomplished in all areas of the company?</v>
      </c>
      <c r="D254" s="354"/>
      <c r="E254" s="354"/>
      <c r="F254" s="354"/>
      <c r="G254" s="355"/>
      <c r="H254" s="345"/>
      <c r="I254" s="346"/>
      <c r="J254" s="346"/>
      <c r="K254" s="346"/>
      <c r="L254" s="346"/>
      <c r="M254" s="346"/>
      <c r="N254" s="346"/>
      <c r="O254" s="346"/>
      <c r="P254" s="346"/>
      <c r="Q254" s="347"/>
      <c r="R254" s="74"/>
      <c r="S254" s="69" t="s">
        <v>156</v>
      </c>
      <c r="T254" s="62" t="str">
        <f>IF(S254=" ","",IF(S254="N/A","",IF(S254=2,"Green Grün",IF(S254=1,"Yellow Gelb",IF(S254=0,"Red Rot")))))</f>
        <v/>
      </c>
    </row>
    <row r="255" spans="1:20" ht="5.25" customHeight="1" x14ac:dyDescent="0.25">
      <c r="A255" s="148"/>
      <c r="B255" s="132"/>
      <c r="C255" s="63"/>
      <c r="D255" s="130"/>
      <c r="E255" s="130"/>
      <c r="F255" s="130"/>
      <c r="G255" s="131"/>
      <c r="H255" s="348"/>
      <c r="I255" s="349"/>
      <c r="J255" s="349"/>
      <c r="K255" s="349"/>
      <c r="L255" s="349"/>
      <c r="M255" s="349"/>
      <c r="N255" s="349"/>
      <c r="O255" s="349"/>
      <c r="P255" s="349"/>
      <c r="Q255" s="350"/>
      <c r="R255" s="4"/>
      <c r="S255" s="13"/>
      <c r="T255" s="7"/>
    </row>
    <row r="256" spans="1:20" ht="5.25" customHeight="1" x14ac:dyDescent="0.25">
      <c r="A256" s="88"/>
      <c r="B256" s="124"/>
      <c r="C256" s="124"/>
      <c r="D256" s="124"/>
      <c r="E256" s="124"/>
      <c r="F256" s="124"/>
      <c r="G256" s="125"/>
      <c r="H256" s="342"/>
      <c r="I256" s="343"/>
      <c r="J256" s="343"/>
      <c r="K256" s="343"/>
      <c r="L256" s="343"/>
      <c r="M256" s="343"/>
      <c r="N256" s="343"/>
      <c r="O256" s="343"/>
      <c r="P256" s="343"/>
      <c r="Q256" s="344"/>
      <c r="R256" s="3"/>
      <c r="S256" s="3"/>
      <c r="T256" s="6"/>
    </row>
    <row r="257" spans="1:20" ht="50.1" customHeight="1" x14ac:dyDescent="0.25">
      <c r="A257" s="88"/>
      <c r="B257" s="126" t="str">
        <f>"15.3"</f>
        <v>15.3</v>
      </c>
      <c r="C257" s="354" t="str">
        <f>VLOOKUP(Vocabularies!B209,Vocabularies!$B$1:$G$358,Vocabularies!$J$2,0)</f>
        <v>Are improvement measures documented and are responsible persons named?</v>
      </c>
      <c r="D257" s="354"/>
      <c r="E257" s="354"/>
      <c r="F257" s="354"/>
      <c r="G257" s="355"/>
      <c r="H257" s="345"/>
      <c r="I257" s="346"/>
      <c r="J257" s="346"/>
      <c r="K257" s="346"/>
      <c r="L257" s="346"/>
      <c r="M257" s="346"/>
      <c r="N257" s="346"/>
      <c r="O257" s="346"/>
      <c r="P257" s="346"/>
      <c r="Q257" s="347"/>
      <c r="R257" s="74"/>
      <c r="S257" s="69" t="s">
        <v>156</v>
      </c>
      <c r="T257" s="62" t="str">
        <f>IF(S257=" ","",IF(S257="N/A","",IF(S257=2,"Green Grün",IF(S257=1,"Yellow Gelb",IF(S257=0,"Red Rot")))))</f>
        <v/>
      </c>
    </row>
    <row r="258" spans="1:20" ht="5.25" customHeight="1" x14ac:dyDescent="0.25">
      <c r="A258" s="148"/>
      <c r="B258" s="132"/>
      <c r="C258" s="146"/>
      <c r="D258" s="146"/>
      <c r="E258" s="146"/>
      <c r="F258" s="146"/>
      <c r="G258" s="147"/>
      <c r="H258" s="348"/>
      <c r="I258" s="349"/>
      <c r="J258" s="349"/>
      <c r="K258" s="349"/>
      <c r="L258" s="349"/>
      <c r="M258" s="349"/>
      <c r="N258" s="349"/>
      <c r="O258" s="349"/>
      <c r="P258" s="349"/>
      <c r="Q258" s="350"/>
      <c r="R258" s="70"/>
      <c r="S258" s="4"/>
      <c r="T258" s="64"/>
    </row>
    <row r="259" spans="1:20" ht="5.25" customHeight="1" x14ac:dyDescent="0.25">
      <c r="A259" s="88"/>
      <c r="B259" s="124"/>
      <c r="C259" s="124"/>
      <c r="D259" s="124"/>
      <c r="E259" s="124"/>
      <c r="F259" s="124"/>
      <c r="G259" s="125"/>
      <c r="H259" s="342"/>
      <c r="I259" s="343"/>
      <c r="J259" s="343"/>
      <c r="K259" s="343"/>
      <c r="L259" s="343"/>
      <c r="M259" s="343"/>
      <c r="N259" s="343"/>
      <c r="O259" s="343"/>
      <c r="P259" s="343"/>
      <c r="Q259" s="344"/>
      <c r="R259" s="3"/>
      <c r="S259" s="3"/>
      <c r="T259" s="6"/>
    </row>
    <row r="260" spans="1:20" ht="50.1" customHeight="1" x14ac:dyDescent="0.25">
      <c r="A260" s="88"/>
      <c r="B260" s="126" t="str">
        <f>"15.4"</f>
        <v>15.4</v>
      </c>
      <c r="C260" s="354" t="str">
        <f>VLOOKUP(Vocabularies!B210,Vocabularies!$B$1:$G$358,Vocabularies!$J$2,0)</f>
        <v>Is there a plan for the prompt introduction of changes to the product?</v>
      </c>
      <c r="D260" s="354"/>
      <c r="E260" s="354"/>
      <c r="F260" s="354"/>
      <c r="G260" s="355"/>
      <c r="H260" s="345"/>
      <c r="I260" s="346"/>
      <c r="J260" s="346"/>
      <c r="K260" s="346"/>
      <c r="L260" s="346"/>
      <c r="M260" s="346"/>
      <c r="N260" s="346"/>
      <c r="O260" s="346"/>
      <c r="P260" s="346"/>
      <c r="Q260" s="347"/>
      <c r="R260" s="74"/>
      <c r="S260" s="69" t="s">
        <v>156</v>
      </c>
      <c r="T260" s="62" t="str">
        <f>IF(S260=" ","",IF(S260="N/A","",IF(S260=2,"Green Grün",IF(S260=1,"Yellow Gelb",IF(S260=0,"Red Rot")))))</f>
        <v/>
      </c>
    </row>
    <row r="261" spans="1:20" ht="5.25" customHeight="1" x14ac:dyDescent="0.25">
      <c r="A261" s="148"/>
      <c r="B261" s="132"/>
      <c r="C261" s="63"/>
      <c r="D261" s="130"/>
      <c r="E261" s="130"/>
      <c r="F261" s="130"/>
      <c r="G261" s="131"/>
      <c r="H261" s="348"/>
      <c r="I261" s="349"/>
      <c r="J261" s="349"/>
      <c r="K261" s="349"/>
      <c r="L261" s="349"/>
      <c r="M261" s="349"/>
      <c r="N261" s="349"/>
      <c r="O261" s="349"/>
      <c r="P261" s="349"/>
      <c r="Q261" s="350"/>
      <c r="R261" s="4"/>
      <c r="S261" s="4"/>
      <c r="T261" s="7"/>
    </row>
  </sheetData>
  <sheetProtection algorithmName="SHA-512" hashValue="Y33wrfhbO4y4i0M3GcRO45qf66D0pk13FgUf9FL9LBf1PUtZJUZHj+kEzy+1/0N9jtYPtwDoraenGwD2Li/dJA==" saltValue="qRnZK4ZE8cUuSrq7/fmsbA==" spinCount="100000" sheet="1" formatCells="0"/>
  <customSheetViews>
    <customSheetView guid="{94C000B2-F1E8-4309-B026-879312EBDDFE}" showGridLines="0" showRuler="0" topLeftCell="A400">
      <selection activeCell="J436" sqref="J436"/>
      <rowBreaks count="5" manualBreakCount="5">
        <brk id="74" max="16383" man="1"/>
        <brk id="148" max="16383" man="1"/>
        <brk id="205" max="16383" man="1"/>
        <brk id="287" max="16383" man="1"/>
        <brk id="392" max="16383" man="1"/>
      </rowBreaks>
      <pageMargins left="0.4" right="0.31" top="0.48" bottom="0.51" header="0.2" footer="0.35"/>
      <pageSetup paperSize="9" scale="80" orientation="portrait" r:id="rId1"/>
      <headerFooter alignWithMargins="0">
        <oddFooter>&amp;L&amp;8Supplieraudit&amp;R&amp;8R/QM3</oddFooter>
      </headerFooter>
    </customSheetView>
    <customSheetView guid="{361266F1-4AF5-4F0A-8FC6-0F39C1250F75}" showGridLines="0" printArea="1" topLeftCell="A400">
      <selection activeCell="J436" sqref="J436"/>
      <rowBreaks count="5" manualBreakCount="5">
        <brk id="74" max="16383" man="1"/>
        <brk id="148" max="16383" man="1"/>
        <brk id="205" max="16383" man="1"/>
        <brk id="287" max="16383" man="1"/>
        <brk id="392" max="16383" man="1"/>
      </rowBreaks>
      <pageMargins left="0.4" right="0.31" top="0.48" bottom="0.51" header="0.2" footer="0.35"/>
      <pageSetup paperSize="9" scale="80" orientation="portrait" r:id="rId2"/>
      <headerFooter alignWithMargins="0">
        <oddFooter>&amp;L&amp;8Supplieraudit&amp;R&amp;8R/QM3</oddFooter>
      </headerFooter>
    </customSheetView>
  </customSheetViews>
  <mergeCells count="199">
    <mergeCell ref="R175:T175"/>
    <mergeCell ref="R191:T191"/>
    <mergeCell ref="H249:Q249"/>
    <mergeCell ref="H195:Q197"/>
    <mergeCell ref="H239:Q241"/>
    <mergeCell ref="H242:Q244"/>
    <mergeCell ref="R7:T7"/>
    <mergeCell ref="H7:Q7"/>
    <mergeCell ref="H26:Q26"/>
    <mergeCell ref="H33:Q33"/>
    <mergeCell ref="H8:Q10"/>
    <mergeCell ref="H191:Q191"/>
    <mergeCell ref="H210:Q210"/>
    <mergeCell ref="H192:Q194"/>
    <mergeCell ref="H185:Q187"/>
    <mergeCell ref="H188:Q190"/>
    <mergeCell ref="R210:T210"/>
    <mergeCell ref="H201:Q203"/>
    <mergeCell ref="H207:Q209"/>
    <mergeCell ref="R232:T232"/>
    <mergeCell ref="R245:T245"/>
    <mergeCell ref="R249:T249"/>
    <mergeCell ref="R66:T66"/>
    <mergeCell ref="R79:T79"/>
    <mergeCell ref="R92:T92"/>
    <mergeCell ref="R129:T129"/>
    <mergeCell ref="H163:Q165"/>
    <mergeCell ref="H166:Q168"/>
    <mergeCell ref="C170:G170"/>
    <mergeCell ref="C173:G173"/>
    <mergeCell ref="H169:Q171"/>
    <mergeCell ref="H172:Q174"/>
    <mergeCell ref="H23:Q25"/>
    <mergeCell ref="R26:T26"/>
    <mergeCell ref="R33:T33"/>
    <mergeCell ref="R49:T49"/>
    <mergeCell ref="R62:T62"/>
    <mergeCell ref="C164:G164"/>
    <mergeCell ref="C152:G152"/>
    <mergeCell ref="C155:G155"/>
    <mergeCell ref="H151:Q153"/>
    <mergeCell ref="H154:Q156"/>
    <mergeCell ref="H157:Q159"/>
    <mergeCell ref="H160:Q162"/>
    <mergeCell ref="C140:G140"/>
    <mergeCell ref="C143:G143"/>
    <mergeCell ref="H139:Q141"/>
    <mergeCell ref="H142:Q144"/>
    <mergeCell ref="C146:G146"/>
    <mergeCell ref="C149:G149"/>
    <mergeCell ref="H136:Q138"/>
    <mergeCell ref="H93:Q95"/>
    <mergeCell ref="H111:Q113"/>
    <mergeCell ref="H108:Q110"/>
    <mergeCell ref="H145:Q147"/>
    <mergeCell ref="H148:Q150"/>
    <mergeCell ref="C121:G121"/>
    <mergeCell ref="C124:G124"/>
    <mergeCell ref="C131:G131"/>
    <mergeCell ref="C134:G134"/>
    <mergeCell ref="C137:G137"/>
    <mergeCell ref="C180:G180"/>
    <mergeCell ref="C177:G177"/>
    <mergeCell ref="C81:G81"/>
    <mergeCell ref="C118:G118"/>
    <mergeCell ref="C106:G106"/>
    <mergeCell ref="C109:G109"/>
    <mergeCell ref="C158:G158"/>
    <mergeCell ref="C161:G161"/>
    <mergeCell ref="C167:G167"/>
    <mergeCell ref="C127:G127"/>
    <mergeCell ref="I1:K1"/>
    <mergeCell ref="C84:G84"/>
    <mergeCell ref="C41:G41"/>
    <mergeCell ref="C24:G24"/>
    <mergeCell ref="H49:Q49"/>
    <mergeCell ref="H62:Q62"/>
    <mergeCell ref="H27:Q29"/>
    <mergeCell ref="H56:Q58"/>
    <mergeCell ref="A1:C1"/>
    <mergeCell ref="C47:G47"/>
    <mergeCell ref="C38:G38"/>
    <mergeCell ref="C77:G77"/>
    <mergeCell ref="D1:F1"/>
    <mergeCell ref="D4:D6"/>
    <mergeCell ref="E3:F3"/>
    <mergeCell ref="C44:G44"/>
    <mergeCell ref="C51:G51"/>
    <mergeCell ref="C9:G9"/>
    <mergeCell ref="C12:G12"/>
    <mergeCell ref="C28:G28"/>
    <mergeCell ref="C21:G21"/>
    <mergeCell ref="H37:Q39"/>
    <mergeCell ref="H40:Q42"/>
    <mergeCell ref="H43:Q45"/>
    <mergeCell ref="C35:G35"/>
    <mergeCell ref="C193:G193"/>
    <mergeCell ref="C54:G54"/>
    <mergeCell ref="C68:G68"/>
    <mergeCell ref="H79:Q79"/>
    <mergeCell ref="H114:Q116"/>
    <mergeCell ref="H92:Q92"/>
    <mergeCell ref="H67:Q69"/>
    <mergeCell ref="H70:Q72"/>
    <mergeCell ref="H73:Q75"/>
    <mergeCell ref="H76:Q78"/>
    <mergeCell ref="H83:Q85"/>
    <mergeCell ref="H86:Q88"/>
    <mergeCell ref="H89:Q91"/>
    <mergeCell ref="C186:G186"/>
    <mergeCell ref="C97:G97"/>
    <mergeCell ref="C100:G100"/>
    <mergeCell ref="C103:G103"/>
    <mergeCell ref="C94:G94"/>
    <mergeCell ref="C90:G90"/>
    <mergeCell ref="C87:G87"/>
    <mergeCell ref="C215:G215"/>
    <mergeCell ref="H211:Q213"/>
    <mergeCell ref="H214:Q216"/>
    <mergeCell ref="C15:G15"/>
    <mergeCell ref="C18:G18"/>
    <mergeCell ref="C31:G31"/>
    <mergeCell ref="C205:G205"/>
    <mergeCell ref="C208:G208"/>
    <mergeCell ref="H204:Q206"/>
    <mergeCell ref="C199:G199"/>
    <mergeCell ref="C202:G202"/>
    <mergeCell ref="H198:Q200"/>
    <mergeCell ref="C196:G196"/>
    <mergeCell ref="C57:G57"/>
    <mergeCell ref="C60:G60"/>
    <mergeCell ref="C115:G115"/>
    <mergeCell ref="C74:G74"/>
    <mergeCell ref="C112:G112"/>
    <mergeCell ref="H63:Q65"/>
    <mergeCell ref="C64:G64"/>
    <mergeCell ref="C189:G189"/>
    <mergeCell ref="C183:G183"/>
    <mergeCell ref="C71:G71"/>
    <mergeCell ref="H30:Q32"/>
    <mergeCell ref="C257:G257"/>
    <mergeCell ref="C260:G260"/>
    <mergeCell ref="H259:Q261"/>
    <mergeCell ref="C251:G251"/>
    <mergeCell ref="C254:G254"/>
    <mergeCell ref="H250:Q252"/>
    <mergeCell ref="H253:Q255"/>
    <mergeCell ref="H256:Q258"/>
    <mergeCell ref="I2:K3"/>
    <mergeCell ref="I4:K6"/>
    <mergeCell ref="H11:Q13"/>
    <mergeCell ref="H14:Q16"/>
    <mergeCell ref="H17:Q19"/>
    <mergeCell ref="H20:Q22"/>
    <mergeCell ref="H232:Q232"/>
    <mergeCell ref="C224:G224"/>
    <mergeCell ref="C227:G227"/>
    <mergeCell ref="H223:Q225"/>
    <mergeCell ref="H226:Q228"/>
    <mergeCell ref="C218:G218"/>
    <mergeCell ref="C221:G221"/>
    <mergeCell ref="H217:Q219"/>
    <mergeCell ref="H220:Q222"/>
    <mergeCell ref="C212:G212"/>
    <mergeCell ref="C247:G247"/>
    <mergeCell ref="C237:G237"/>
    <mergeCell ref="C240:G240"/>
    <mergeCell ref="H236:Q238"/>
    <mergeCell ref="C230:G230"/>
    <mergeCell ref="H246:Q248"/>
    <mergeCell ref="C243:G243"/>
    <mergeCell ref="C234:G234"/>
    <mergeCell ref="H229:Q231"/>
    <mergeCell ref="H233:Q235"/>
    <mergeCell ref="H245:Q245"/>
    <mergeCell ref="W12:Y12"/>
    <mergeCell ref="W9:Z9"/>
    <mergeCell ref="H176:Q178"/>
    <mergeCell ref="H179:Q181"/>
    <mergeCell ref="H182:Q184"/>
    <mergeCell ref="H130:Q132"/>
    <mergeCell ref="H175:Q175"/>
    <mergeCell ref="H117:Q119"/>
    <mergeCell ref="H120:Q122"/>
    <mergeCell ref="H133:Q135"/>
    <mergeCell ref="H129:Q129"/>
    <mergeCell ref="H96:Q98"/>
    <mergeCell ref="H99:Q101"/>
    <mergeCell ref="H102:Q104"/>
    <mergeCell ref="H105:Q107"/>
    <mergeCell ref="H123:Q125"/>
    <mergeCell ref="H126:Q128"/>
    <mergeCell ref="H46:Q48"/>
    <mergeCell ref="H53:Q55"/>
    <mergeCell ref="H80:Q82"/>
    <mergeCell ref="H50:Q52"/>
    <mergeCell ref="H66:Q66"/>
    <mergeCell ref="H59:Q61"/>
    <mergeCell ref="H34:Q36"/>
  </mergeCells>
  <phoneticPr fontId="10" type="noConversion"/>
  <conditionalFormatting sqref="S31 S28 S24 S21 S18 S15 S9 S12 S35 S64 S68 S71 S74 S77 S81 S84 S87 S90 S38 S41 S44 S47 S51 S54 S57 S60">
    <cfRule type="cellIs" dxfId="131" priority="550" stopIfTrue="1" operator="equal">
      <formula>0</formula>
    </cfRule>
    <cfRule type="cellIs" dxfId="130" priority="551" stopIfTrue="1" operator="equal">
      <formula>2</formula>
    </cfRule>
    <cfRule type="cellIs" dxfId="129" priority="552" stopIfTrue="1" operator="equal">
      <formula>1</formula>
    </cfRule>
  </conditionalFormatting>
  <conditionalFormatting sqref="S189">
    <cfRule type="cellIs" dxfId="128" priority="70" stopIfTrue="1" operator="equal">
      <formula>0</formula>
    </cfRule>
    <cfRule type="cellIs" dxfId="127" priority="71" stopIfTrue="1" operator="equal">
      <formula>2</formula>
    </cfRule>
    <cfRule type="cellIs" dxfId="126" priority="72" stopIfTrue="1" operator="equal">
      <formula>1</formula>
    </cfRule>
  </conditionalFormatting>
  <conditionalFormatting sqref="S260">
    <cfRule type="cellIs" dxfId="125" priority="79" stopIfTrue="1" operator="equal">
      <formula>0</formula>
    </cfRule>
    <cfRule type="cellIs" dxfId="124" priority="80" stopIfTrue="1" operator="equal">
      <formula>2</formula>
    </cfRule>
    <cfRule type="cellIs" dxfId="123" priority="81" stopIfTrue="1" operator="equal">
      <formula>1</formula>
    </cfRule>
  </conditionalFormatting>
  <conditionalFormatting sqref="S161">
    <cfRule type="cellIs" dxfId="122" priority="199" stopIfTrue="1" operator="equal">
      <formula>0</formula>
    </cfRule>
    <cfRule type="cellIs" dxfId="121" priority="200" stopIfTrue="1" operator="equal">
      <formula>2</formula>
    </cfRule>
    <cfRule type="cellIs" dxfId="120" priority="201" stopIfTrue="1" operator="equal">
      <formula>1</formula>
    </cfRule>
  </conditionalFormatting>
  <conditionalFormatting sqref="S164">
    <cfRule type="cellIs" dxfId="119" priority="196" stopIfTrue="1" operator="equal">
      <formula>0</formula>
    </cfRule>
    <cfRule type="cellIs" dxfId="118" priority="197" stopIfTrue="1" operator="equal">
      <formula>2</formula>
    </cfRule>
    <cfRule type="cellIs" dxfId="117" priority="198" stopIfTrue="1" operator="equal">
      <formula>1</formula>
    </cfRule>
  </conditionalFormatting>
  <conditionalFormatting sqref="S173 S167 S170">
    <cfRule type="cellIs" dxfId="116" priority="193" stopIfTrue="1" operator="equal">
      <formula>0</formula>
    </cfRule>
    <cfRule type="cellIs" dxfId="115" priority="194" stopIfTrue="1" operator="equal">
      <formula>2</formula>
    </cfRule>
    <cfRule type="cellIs" dxfId="114" priority="195" stopIfTrue="1" operator="equal">
      <formula>1</formula>
    </cfRule>
  </conditionalFormatting>
  <conditionalFormatting sqref="S186 S180 S183 S177">
    <cfRule type="cellIs" dxfId="113" priority="190" stopIfTrue="1" operator="equal">
      <formula>0</formula>
    </cfRule>
    <cfRule type="cellIs" dxfId="112" priority="191" stopIfTrue="1" operator="equal">
      <formula>2</formula>
    </cfRule>
    <cfRule type="cellIs" dxfId="111" priority="192" stopIfTrue="1" operator="equal">
      <formula>1</formula>
    </cfRule>
  </conditionalFormatting>
  <conditionalFormatting sqref="S202 S196 S199 S193">
    <cfRule type="cellIs" dxfId="110" priority="184" stopIfTrue="1" operator="equal">
      <formula>0</formula>
    </cfRule>
    <cfRule type="cellIs" dxfId="109" priority="185" stopIfTrue="1" operator="equal">
      <formula>2</formula>
    </cfRule>
    <cfRule type="cellIs" dxfId="108" priority="186" stopIfTrue="1" operator="equal">
      <formula>1</formula>
    </cfRule>
  </conditionalFormatting>
  <conditionalFormatting sqref="S208">
    <cfRule type="cellIs" dxfId="107" priority="181" stopIfTrue="1" operator="equal">
      <formula>0</formula>
    </cfRule>
    <cfRule type="cellIs" dxfId="106" priority="182" stopIfTrue="1" operator="equal">
      <formula>2</formula>
    </cfRule>
    <cfRule type="cellIs" dxfId="105" priority="183" stopIfTrue="1" operator="equal">
      <formula>1</formula>
    </cfRule>
  </conditionalFormatting>
  <conditionalFormatting sqref="S221 S215 S218 S212">
    <cfRule type="cellIs" dxfId="104" priority="178" stopIfTrue="1" operator="equal">
      <formula>0</formula>
    </cfRule>
    <cfRule type="cellIs" dxfId="103" priority="179" stopIfTrue="1" operator="equal">
      <formula>2</formula>
    </cfRule>
    <cfRule type="cellIs" dxfId="102" priority="180" stopIfTrue="1" operator="equal">
      <formula>1</formula>
    </cfRule>
  </conditionalFormatting>
  <conditionalFormatting sqref="S227">
    <cfRule type="cellIs" dxfId="101" priority="175" stopIfTrue="1" operator="equal">
      <formula>0</formula>
    </cfRule>
    <cfRule type="cellIs" dxfId="100" priority="176" stopIfTrue="1" operator="equal">
      <formula>2</formula>
    </cfRule>
    <cfRule type="cellIs" dxfId="99" priority="177" stopIfTrue="1" operator="equal">
      <formula>1</formula>
    </cfRule>
  </conditionalFormatting>
  <conditionalFormatting sqref="S230">
    <cfRule type="cellIs" dxfId="98" priority="172" stopIfTrue="1" operator="equal">
      <formula>0</formula>
    </cfRule>
    <cfRule type="cellIs" dxfId="97" priority="173" stopIfTrue="1" operator="equal">
      <formula>2</formula>
    </cfRule>
    <cfRule type="cellIs" dxfId="96" priority="174" stopIfTrue="1" operator="equal">
      <formula>1</formula>
    </cfRule>
  </conditionalFormatting>
  <conditionalFormatting sqref="S243 S237 S240 S234">
    <cfRule type="cellIs" dxfId="95" priority="169" stopIfTrue="1" operator="equal">
      <formula>0</formula>
    </cfRule>
    <cfRule type="cellIs" dxfId="94" priority="170" stopIfTrue="1" operator="equal">
      <formula>2</formula>
    </cfRule>
    <cfRule type="cellIs" dxfId="93" priority="171" stopIfTrue="1" operator="equal">
      <formula>1</formula>
    </cfRule>
  </conditionalFormatting>
  <conditionalFormatting sqref="S257 S251 S254">
    <cfRule type="cellIs" dxfId="92" priority="160" stopIfTrue="1" operator="equal">
      <formula>0</formula>
    </cfRule>
    <cfRule type="cellIs" dxfId="91" priority="161" stopIfTrue="1" operator="equal">
      <formula>2</formula>
    </cfRule>
    <cfRule type="cellIs" dxfId="90" priority="162" stopIfTrue="1" operator="equal">
      <formula>1</formula>
    </cfRule>
  </conditionalFormatting>
  <conditionalFormatting sqref="S247">
    <cfRule type="cellIs" dxfId="89" priority="163" stopIfTrue="1" operator="equal">
      <formula>0</formula>
    </cfRule>
    <cfRule type="cellIs" dxfId="88" priority="164" stopIfTrue="1" operator="equal">
      <formula>2</formula>
    </cfRule>
    <cfRule type="cellIs" dxfId="87" priority="165" stopIfTrue="1" operator="equal">
      <formula>1</formula>
    </cfRule>
  </conditionalFormatting>
  <conditionalFormatting sqref="S224">
    <cfRule type="cellIs" dxfId="86" priority="76" stopIfTrue="1" operator="equal">
      <formula>0</formula>
    </cfRule>
    <cfRule type="cellIs" dxfId="85" priority="77" stopIfTrue="1" operator="equal">
      <formula>2</formula>
    </cfRule>
    <cfRule type="cellIs" dxfId="84" priority="78" stopIfTrue="1" operator="equal">
      <formula>1</formula>
    </cfRule>
  </conditionalFormatting>
  <conditionalFormatting sqref="S205">
    <cfRule type="cellIs" dxfId="83" priority="73" stopIfTrue="1" operator="equal">
      <formula>0</formula>
    </cfRule>
    <cfRule type="cellIs" dxfId="82" priority="74" stopIfTrue="1" operator="equal">
      <formula>2</formula>
    </cfRule>
    <cfRule type="cellIs" dxfId="81" priority="75" stopIfTrue="1" operator="equal">
      <formula>1</formula>
    </cfRule>
  </conditionalFormatting>
  <conditionalFormatting sqref="S158">
    <cfRule type="cellIs" dxfId="80" priority="67" stopIfTrue="1" operator="equal">
      <formula>0</formula>
    </cfRule>
    <cfRule type="cellIs" dxfId="79" priority="68" stopIfTrue="1" operator="equal">
      <formula>2</formula>
    </cfRule>
    <cfRule type="cellIs" dxfId="78" priority="69" stopIfTrue="1" operator="equal">
      <formula>1</formula>
    </cfRule>
  </conditionalFormatting>
  <conditionalFormatting sqref="S155">
    <cfRule type="cellIs" dxfId="77" priority="61" stopIfTrue="1" operator="equal">
      <formula>0</formula>
    </cfRule>
    <cfRule type="cellIs" dxfId="76" priority="62" stopIfTrue="1" operator="equal">
      <formula>2</formula>
    </cfRule>
    <cfRule type="cellIs" dxfId="75" priority="63" stopIfTrue="1" operator="equal">
      <formula>1</formula>
    </cfRule>
  </conditionalFormatting>
  <conditionalFormatting sqref="S149">
    <cfRule type="cellIs" dxfId="74" priority="55" stopIfTrue="1" operator="equal">
      <formula>0</formula>
    </cfRule>
    <cfRule type="cellIs" dxfId="73" priority="56" stopIfTrue="1" operator="equal">
      <formula>2</formula>
    </cfRule>
    <cfRule type="cellIs" dxfId="72" priority="57" stopIfTrue="1" operator="equal">
      <formula>1</formula>
    </cfRule>
  </conditionalFormatting>
  <conditionalFormatting sqref="S143">
    <cfRule type="cellIs" dxfId="71" priority="49" stopIfTrue="1" operator="equal">
      <formula>0</formula>
    </cfRule>
    <cfRule type="cellIs" dxfId="70" priority="50" stopIfTrue="1" operator="equal">
      <formula>2</formula>
    </cfRule>
    <cfRule type="cellIs" dxfId="69" priority="51" stopIfTrue="1" operator="equal">
      <formula>1</formula>
    </cfRule>
  </conditionalFormatting>
  <conditionalFormatting sqref="S137">
    <cfRule type="cellIs" dxfId="68" priority="43" stopIfTrue="1" operator="equal">
      <formula>0</formula>
    </cfRule>
    <cfRule type="cellIs" dxfId="67" priority="44" stopIfTrue="1" operator="equal">
      <formula>2</formula>
    </cfRule>
    <cfRule type="cellIs" dxfId="66" priority="45" stopIfTrue="1" operator="equal">
      <formula>1</formula>
    </cfRule>
  </conditionalFormatting>
  <conditionalFormatting sqref="S94">
    <cfRule type="cellIs" dxfId="65" priority="34" stopIfTrue="1" operator="equal">
      <formula>0</formula>
    </cfRule>
    <cfRule type="cellIs" dxfId="64" priority="35" stopIfTrue="1" operator="equal">
      <formula>2</formula>
    </cfRule>
    <cfRule type="cellIs" dxfId="63" priority="36" stopIfTrue="1" operator="equal">
      <formula>1</formula>
    </cfRule>
  </conditionalFormatting>
  <conditionalFormatting sqref="S100">
    <cfRule type="cellIs" dxfId="62" priority="28" stopIfTrue="1" operator="equal">
      <formula>0</formula>
    </cfRule>
    <cfRule type="cellIs" dxfId="61" priority="29" stopIfTrue="1" operator="equal">
      <formula>2</formula>
    </cfRule>
    <cfRule type="cellIs" dxfId="60" priority="30" stopIfTrue="1" operator="equal">
      <formula>1</formula>
    </cfRule>
  </conditionalFormatting>
  <conditionalFormatting sqref="S106">
    <cfRule type="cellIs" dxfId="59" priority="22" stopIfTrue="1" operator="equal">
      <formula>0</formula>
    </cfRule>
    <cfRule type="cellIs" dxfId="58" priority="23" stopIfTrue="1" operator="equal">
      <formula>2</formula>
    </cfRule>
    <cfRule type="cellIs" dxfId="57" priority="24" stopIfTrue="1" operator="equal">
      <formula>1</formula>
    </cfRule>
  </conditionalFormatting>
  <conditionalFormatting sqref="S112">
    <cfRule type="cellIs" dxfId="56" priority="16" stopIfTrue="1" operator="equal">
      <formula>0</formula>
    </cfRule>
    <cfRule type="cellIs" dxfId="55" priority="17" stopIfTrue="1" operator="equal">
      <formula>2</formula>
    </cfRule>
    <cfRule type="cellIs" dxfId="54" priority="18" stopIfTrue="1" operator="equal">
      <formula>1</formula>
    </cfRule>
  </conditionalFormatting>
  <conditionalFormatting sqref="S118">
    <cfRule type="cellIs" dxfId="53" priority="10" stopIfTrue="1" operator="equal">
      <formula>0</formula>
    </cfRule>
    <cfRule type="cellIs" dxfId="52" priority="11" stopIfTrue="1" operator="equal">
      <formula>2</formula>
    </cfRule>
    <cfRule type="cellIs" dxfId="51" priority="12" stopIfTrue="1" operator="equal">
      <formula>1</formula>
    </cfRule>
  </conditionalFormatting>
  <conditionalFormatting sqref="S124">
    <cfRule type="cellIs" dxfId="50" priority="4" stopIfTrue="1" operator="equal">
      <formula>0</formula>
    </cfRule>
    <cfRule type="cellIs" dxfId="49" priority="5" stopIfTrue="1" operator="equal">
      <formula>2</formula>
    </cfRule>
    <cfRule type="cellIs" dxfId="48" priority="6" stopIfTrue="1" operator="equal">
      <formula>1</formula>
    </cfRule>
  </conditionalFormatting>
  <conditionalFormatting sqref="S152">
    <cfRule type="cellIs" dxfId="47" priority="58" stopIfTrue="1" operator="equal">
      <formula>0</formula>
    </cfRule>
    <cfRule type="cellIs" dxfId="46" priority="59" stopIfTrue="1" operator="equal">
      <formula>2</formula>
    </cfRule>
    <cfRule type="cellIs" dxfId="45" priority="60" stopIfTrue="1" operator="equal">
      <formula>1</formula>
    </cfRule>
  </conditionalFormatting>
  <conditionalFormatting sqref="S146">
    <cfRule type="cellIs" dxfId="44" priority="52" stopIfTrue="1" operator="equal">
      <formula>0</formula>
    </cfRule>
    <cfRule type="cellIs" dxfId="43" priority="53" stopIfTrue="1" operator="equal">
      <formula>2</formula>
    </cfRule>
    <cfRule type="cellIs" dxfId="42" priority="54" stopIfTrue="1" operator="equal">
      <formula>1</formula>
    </cfRule>
  </conditionalFormatting>
  <conditionalFormatting sqref="S140">
    <cfRule type="cellIs" dxfId="41" priority="46" stopIfTrue="1" operator="equal">
      <formula>0</formula>
    </cfRule>
    <cfRule type="cellIs" dxfId="40" priority="47" stopIfTrue="1" operator="equal">
      <formula>2</formula>
    </cfRule>
    <cfRule type="cellIs" dxfId="39" priority="48" stopIfTrue="1" operator="equal">
      <formula>1</formula>
    </cfRule>
  </conditionalFormatting>
  <conditionalFormatting sqref="S134">
    <cfRule type="cellIs" dxfId="38" priority="40" stopIfTrue="1" operator="equal">
      <formula>0</formula>
    </cfRule>
    <cfRule type="cellIs" dxfId="37" priority="41" stopIfTrue="1" operator="equal">
      <formula>2</formula>
    </cfRule>
    <cfRule type="cellIs" dxfId="36" priority="42" stopIfTrue="1" operator="equal">
      <formula>1</formula>
    </cfRule>
  </conditionalFormatting>
  <conditionalFormatting sqref="S131">
    <cfRule type="cellIs" dxfId="35" priority="37" stopIfTrue="1" operator="equal">
      <formula>0</formula>
    </cfRule>
    <cfRule type="cellIs" dxfId="34" priority="38" stopIfTrue="1" operator="equal">
      <formula>2</formula>
    </cfRule>
    <cfRule type="cellIs" dxfId="33" priority="39" stopIfTrue="1" operator="equal">
      <formula>1</formula>
    </cfRule>
  </conditionalFormatting>
  <conditionalFormatting sqref="S97">
    <cfRule type="cellIs" dxfId="32" priority="31" stopIfTrue="1" operator="equal">
      <formula>0</formula>
    </cfRule>
    <cfRule type="cellIs" dxfId="31" priority="32" stopIfTrue="1" operator="equal">
      <formula>2</formula>
    </cfRule>
    <cfRule type="cellIs" dxfId="30" priority="33" stopIfTrue="1" operator="equal">
      <formula>1</formula>
    </cfRule>
  </conditionalFormatting>
  <conditionalFormatting sqref="S103">
    <cfRule type="cellIs" dxfId="29" priority="25" stopIfTrue="1" operator="equal">
      <formula>0</formula>
    </cfRule>
    <cfRule type="cellIs" dxfId="28" priority="26" stopIfTrue="1" operator="equal">
      <formula>2</formula>
    </cfRule>
    <cfRule type="cellIs" dxfId="27" priority="27" stopIfTrue="1" operator="equal">
      <formula>1</formula>
    </cfRule>
  </conditionalFormatting>
  <conditionalFormatting sqref="S109">
    <cfRule type="cellIs" dxfId="26" priority="19" stopIfTrue="1" operator="equal">
      <formula>0</formula>
    </cfRule>
    <cfRule type="cellIs" dxfId="25" priority="20" stopIfTrue="1" operator="equal">
      <formula>2</formula>
    </cfRule>
    <cfRule type="cellIs" dxfId="24" priority="21" stopIfTrue="1" operator="equal">
      <formula>1</formula>
    </cfRule>
  </conditionalFormatting>
  <conditionalFormatting sqref="S115">
    <cfRule type="cellIs" dxfId="23" priority="13" stopIfTrue="1" operator="equal">
      <formula>0</formula>
    </cfRule>
    <cfRule type="cellIs" dxfId="22" priority="14" stopIfTrue="1" operator="equal">
      <formula>2</formula>
    </cfRule>
    <cfRule type="cellIs" dxfId="21" priority="15" stopIfTrue="1" operator="equal">
      <formula>1</formula>
    </cfRule>
  </conditionalFormatting>
  <conditionalFormatting sqref="S121">
    <cfRule type="cellIs" dxfId="20" priority="7" stopIfTrue="1" operator="equal">
      <formula>0</formula>
    </cfRule>
    <cfRule type="cellIs" dxfId="19" priority="8" stopIfTrue="1" operator="equal">
      <formula>2</formula>
    </cfRule>
    <cfRule type="cellIs" dxfId="18" priority="9" stopIfTrue="1" operator="equal">
      <formula>1</formula>
    </cfRule>
  </conditionalFormatting>
  <conditionalFormatting sqref="S127">
    <cfRule type="cellIs" dxfId="17" priority="1" stopIfTrue="1" operator="equal">
      <formula>0</formula>
    </cfRule>
    <cfRule type="cellIs" dxfId="16" priority="2" stopIfTrue="1" operator="equal">
      <formula>2</formula>
    </cfRule>
    <cfRule type="cellIs" dxfId="15" priority="3" stopIfTrue="1" operator="equal">
      <formula>1</formula>
    </cfRule>
  </conditionalFormatting>
  <dataValidations count="2">
    <dataValidation type="list" showInputMessage="1" showErrorMessage="1" errorTitle="Falsche Eingabe" error="Bitte nur angegebene Werte auswählen" sqref="S87 S74 S68 S71 S64 S57 S60 S54 S51 S47 S44 S41 S24 S18 S15 S21 S31 S28 S35 S38 S9 S12 S81 S84 S77:S78 S90:S91 S100 S94 S97 S103:S104 S112 S106 S109 S115:S116 S121 S118 S260 S137 S131 S134 S140:S141 S149 S143 S146 S152:S153 S158 S155 S161:S162 S164:S165 S170 S167 S173:S174 S183 S177 S180 S186:S187 S189 S199 S193 S196 S202:S203 S205 S208 S218 S212 S215 S221:S222 S224 S227 S230 S240 S234 S237 S243:S244 S247 S254 S251 S257:S258 S124 S127" xr:uid="{00000000-0002-0000-0300-000000000000}">
      <formula1>$W$2:$W$6</formula1>
    </dataValidation>
    <dataValidation type="list" showInputMessage="1" showErrorMessage="1" errorTitle="Falsche Eingabe" error="Bitte nur angegebene Werte auswählen" sqref="S88 S75 S101 S113 S122 S138 S150 S159 S171 S184 S200 S219 S241 S255" xr:uid="{00000000-0002-0000-0300-000001000000}">
      <formula1>$W$3:$W$6</formula1>
    </dataValidation>
  </dataValidations>
  <pageMargins left="0.39370078740157483" right="0.31496062992125984" top="0.35433070866141736" bottom="0.51181102362204722" header="0.19685039370078741" footer="0.35433070866141736"/>
  <pageSetup paperSize="9" scale="45" orientation="portrait" r:id="rId3"/>
  <headerFooter alignWithMargins="0">
    <oddFooter>&amp;L&amp;8Supplieraudit&amp;C&amp;8&amp;P/&amp;N&amp;R&amp;8R/QM3</oddFoot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0">
    <tabColor indexed="11"/>
  </sheetPr>
  <dimension ref="A1:Z59"/>
  <sheetViews>
    <sheetView showGridLines="0" zoomScale="75" zoomScaleNormal="75" zoomScaleSheetLayoutView="75" workbookViewId="0">
      <selection activeCell="A45" sqref="A45:XFD45"/>
    </sheetView>
  </sheetViews>
  <sheetFormatPr defaultColWidth="11.44140625" defaultRowHeight="13.2" x14ac:dyDescent="0.25"/>
  <cols>
    <col min="1" max="1" width="4.109375" customWidth="1"/>
    <col min="2" max="2" width="7.6640625" customWidth="1"/>
    <col min="3" max="3" width="61.33203125" customWidth="1"/>
    <col min="4" max="4" width="8" customWidth="1"/>
    <col min="5" max="5" width="11.5546875" bestFit="1" customWidth="1"/>
    <col min="6" max="6" width="3.44140625" customWidth="1"/>
    <col min="7" max="7" width="9.109375" customWidth="1"/>
    <col min="8" max="8" width="36.88671875" customWidth="1"/>
    <col min="9" max="9" width="8" customWidth="1"/>
    <col min="10" max="10" width="11.5546875" customWidth="1"/>
    <col min="11" max="12" width="3.44140625" customWidth="1"/>
    <col min="13" max="14" width="5.44140625" customWidth="1"/>
    <col min="15" max="15" width="3.6640625" customWidth="1"/>
    <col min="16" max="16" width="4.6640625" customWidth="1"/>
    <col min="17" max="17" width="5" customWidth="1"/>
    <col min="18" max="18" width="2.33203125" customWidth="1"/>
    <col min="19" max="19" width="8" customWidth="1"/>
    <col min="20" max="20" width="7.109375" customWidth="1"/>
    <col min="21" max="21" width="44" style="28" customWidth="1"/>
    <col min="22" max="22" width="11.44140625" customWidth="1"/>
    <col min="23" max="23" width="11.5546875" bestFit="1" customWidth="1"/>
  </cols>
  <sheetData>
    <row r="1" spans="1:26" ht="30" x14ac:dyDescent="0.5">
      <c r="A1" s="379" t="str">
        <f>VLOOKUP(Vocabularies!B7,Vocabularies!$B$1:$G$358,Vocabularies!$J$2,0)</f>
        <v>Supplier Self-Assessment</v>
      </c>
      <c r="B1" s="380" t="e">
        <f>VLOOKUP("Supplier:",Vocabularies!#REF!,Vocabularies!$J$2,0)</f>
        <v>#REF!</v>
      </c>
      <c r="C1" s="380" t="e">
        <f>VLOOKUP("Supplier:",Vocabularies!#REF!,Vocabularies!$J$2,0)</f>
        <v>#REF!</v>
      </c>
      <c r="D1" s="371"/>
      <c r="E1" s="371"/>
      <c r="F1" s="371"/>
      <c r="G1" s="8"/>
      <c r="H1" s="8"/>
      <c r="I1" s="376" t="str">
        <f>Company_Profile!A4</f>
        <v>Status: Rev 05</v>
      </c>
      <c r="J1" s="377"/>
      <c r="K1" s="378"/>
      <c r="L1" s="76"/>
      <c r="M1" s="76"/>
      <c r="N1" s="76"/>
      <c r="O1" s="76"/>
      <c r="P1" s="76"/>
      <c r="Q1" s="76"/>
      <c r="R1" s="8"/>
      <c r="S1" s="8"/>
      <c r="T1" s="9"/>
      <c r="U1" s="27"/>
      <c r="V1" s="14"/>
      <c r="W1" s="16"/>
      <c r="X1" s="14"/>
      <c r="Y1" s="14"/>
      <c r="Z1" s="14"/>
    </row>
    <row r="2" spans="1:26" ht="5.4" customHeight="1" x14ac:dyDescent="0.5">
      <c r="A2" s="10"/>
      <c r="B2" s="1"/>
      <c r="C2" s="1"/>
      <c r="D2" s="1"/>
      <c r="E2" s="1"/>
      <c r="F2" s="1"/>
      <c r="G2" s="3"/>
      <c r="H2" s="3"/>
      <c r="I2" s="393" t="str">
        <f>VLOOKUP(Vocabularies!B3,Vocabularies!$B$1:$G$358,Vocabularies!$J$2,0)</f>
        <v>Date:</v>
      </c>
      <c r="J2" s="394"/>
      <c r="K2" s="395"/>
      <c r="L2" s="1"/>
      <c r="M2" s="1"/>
      <c r="N2" s="1"/>
      <c r="O2" s="1"/>
      <c r="P2" s="1"/>
      <c r="Q2" s="1"/>
      <c r="R2" s="3"/>
      <c r="S2" s="3"/>
      <c r="T2" s="6"/>
      <c r="U2" s="27"/>
      <c r="V2" s="14"/>
      <c r="W2" s="16" t="s">
        <v>156</v>
      </c>
      <c r="X2" s="14"/>
      <c r="Y2" s="14"/>
      <c r="Z2" s="14"/>
    </row>
    <row r="3" spans="1:26" ht="18" customHeight="1" x14ac:dyDescent="0.25">
      <c r="A3" s="108" t="str">
        <f>VLOOKUP(Vocabularies!B5,Vocabularies!$B$1:$G$358,Vocabularies!$J$2,0)</f>
        <v>Supplier:</v>
      </c>
      <c r="B3" s="107"/>
      <c r="C3" s="107" t="str">
        <f>IF(Company_Profile!B8="","",Company_Profile!B8)</f>
        <v/>
      </c>
      <c r="D3" s="82"/>
      <c r="E3" s="374"/>
      <c r="F3" s="375"/>
      <c r="G3" s="4"/>
      <c r="H3" s="7"/>
      <c r="I3" s="396"/>
      <c r="J3" s="397"/>
      <c r="K3" s="398"/>
      <c r="L3" s="77"/>
      <c r="M3" s="77"/>
      <c r="N3" s="77"/>
      <c r="O3" s="77"/>
      <c r="P3" s="77"/>
      <c r="Q3" s="77"/>
      <c r="R3" s="3"/>
      <c r="S3" s="3"/>
      <c r="T3" s="6"/>
      <c r="U3" s="27"/>
      <c r="V3" s="14"/>
      <c r="W3" s="18">
        <v>0</v>
      </c>
      <c r="X3" s="14"/>
      <c r="Y3" s="14"/>
      <c r="Z3" s="14"/>
    </row>
    <row r="4" spans="1:26" ht="7.2" customHeight="1" x14ac:dyDescent="0.25">
      <c r="A4" s="11"/>
      <c r="B4" s="2"/>
      <c r="C4" s="79"/>
      <c r="D4" s="109"/>
      <c r="E4" s="49"/>
      <c r="F4" s="49"/>
      <c r="G4" s="3"/>
      <c r="H4" s="3"/>
      <c r="I4" s="384">
        <f>Company_Profile!W4</f>
        <v>0</v>
      </c>
      <c r="J4" s="385"/>
      <c r="K4" s="386"/>
      <c r="L4" s="49"/>
      <c r="M4" s="49"/>
      <c r="N4" s="49"/>
      <c r="O4" s="49"/>
      <c r="P4" s="49"/>
      <c r="Q4" s="49"/>
      <c r="R4" s="3"/>
      <c r="S4" s="3"/>
      <c r="T4" s="6"/>
      <c r="U4" s="27"/>
      <c r="V4" s="14"/>
      <c r="W4" s="18">
        <v>1</v>
      </c>
      <c r="X4" s="14"/>
      <c r="Y4" s="14"/>
      <c r="Z4" s="14"/>
    </row>
    <row r="5" spans="1:26" ht="17.399999999999999" x14ac:dyDescent="0.25">
      <c r="A5" s="106" t="str">
        <f>VLOOKUP(Vocabularies!B212,Vocabularies!$B$1:$G$358,Vocabularies!$J$2,0)</f>
        <v xml:space="preserve">Section E Environmental and Safty management </v>
      </c>
      <c r="B5" s="2"/>
      <c r="C5" s="80"/>
      <c r="D5" s="110"/>
      <c r="E5" s="78"/>
      <c r="F5" s="78"/>
      <c r="G5" s="3"/>
      <c r="H5" s="3"/>
      <c r="I5" s="387"/>
      <c r="J5" s="388"/>
      <c r="K5" s="389"/>
      <c r="L5" s="78"/>
      <c r="M5" s="78"/>
      <c r="N5" s="78"/>
      <c r="O5" s="78"/>
      <c r="P5" s="78"/>
      <c r="Q5" s="78"/>
      <c r="R5" s="3"/>
      <c r="S5" s="3"/>
      <c r="T5" s="6"/>
      <c r="U5" s="27"/>
      <c r="V5" s="14"/>
      <c r="W5" s="18">
        <v>2</v>
      </c>
      <c r="X5" s="14"/>
      <c r="Y5" s="14"/>
      <c r="Z5" s="14"/>
    </row>
    <row r="6" spans="1:26" ht="6.6" customHeight="1" x14ac:dyDescent="0.25">
      <c r="A6" s="12"/>
      <c r="B6" s="5"/>
      <c r="C6" s="81"/>
      <c r="D6" s="82"/>
      <c r="E6" s="50"/>
      <c r="F6" s="50"/>
      <c r="G6" s="4"/>
      <c r="H6" s="4"/>
      <c r="I6" s="390"/>
      <c r="J6" s="391"/>
      <c r="K6" s="392"/>
      <c r="L6" s="50"/>
      <c r="M6" s="50"/>
      <c r="N6" s="50"/>
      <c r="O6" s="50"/>
      <c r="P6" s="50"/>
      <c r="Q6" s="50"/>
      <c r="R6" s="4"/>
      <c r="S6" s="4"/>
      <c r="T6" s="7"/>
      <c r="U6" s="27"/>
      <c r="V6" s="14"/>
      <c r="W6" s="18" t="s">
        <v>155</v>
      </c>
      <c r="X6" s="14"/>
      <c r="Y6" s="14"/>
      <c r="Z6" s="14"/>
    </row>
    <row r="7" spans="1:26" ht="17.399999999999999" x14ac:dyDescent="0.3">
      <c r="A7" s="118" t="s">
        <v>149</v>
      </c>
      <c r="B7" s="56" t="str">
        <f>VLOOKUP(Vocabularies!B213,Vocabularies!$B$1:$G$358,Vocabularies!$J$2,0)</f>
        <v>Information about environmental management in the company</v>
      </c>
      <c r="C7" s="119"/>
      <c r="D7" s="119"/>
      <c r="E7" s="119"/>
      <c r="F7" s="119"/>
      <c r="G7" s="120"/>
      <c r="H7" s="351" t="str">
        <f>VLOOKUP(Vocabularies!B111,Vocabularies!$B$1:$G$358,Vocabularies!$J$2,0)</f>
        <v>Comments (in case of answers „&lt;2 or N/A“)</v>
      </c>
      <c r="I7" s="352"/>
      <c r="J7" s="352"/>
      <c r="K7" s="352"/>
      <c r="L7" s="352"/>
      <c r="M7" s="352"/>
      <c r="N7" s="352"/>
      <c r="O7" s="352"/>
      <c r="P7" s="352"/>
      <c r="Q7" s="353"/>
      <c r="R7" s="381" t="str">
        <f>VLOOKUP(Vocabularies!B4,Vocabularies!$B$1:$G$358,Vocabularies!$J$2,0)</f>
        <v>Assessment</v>
      </c>
      <c r="S7" s="382"/>
      <c r="T7" s="383"/>
      <c r="U7" s="27"/>
      <c r="V7" s="14"/>
      <c r="W7" s="16"/>
      <c r="X7" s="14"/>
      <c r="Y7" s="14"/>
      <c r="Z7" s="14"/>
    </row>
    <row r="8" spans="1:26" ht="4.95" customHeight="1" x14ac:dyDescent="0.3">
      <c r="A8" s="121"/>
      <c r="B8" s="122"/>
      <c r="C8" s="123"/>
      <c r="D8" s="124"/>
      <c r="E8" s="124"/>
      <c r="F8" s="124"/>
      <c r="G8" s="125"/>
      <c r="H8" s="342"/>
      <c r="I8" s="343"/>
      <c r="J8" s="343"/>
      <c r="K8" s="343"/>
      <c r="L8" s="343"/>
      <c r="M8" s="343"/>
      <c r="N8" s="343"/>
      <c r="O8" s="343"/>
      <c r="P8" s="343"/>
      <c r="Q8" s="344"/>
      <c r="R8" s="3"/>
      <c r="S8" s="3"/>
      <c r="T8" s="6"/>
      <c r="U8" s="27"/>
      <c r="V8" s="14"/>
      <c r="W8" s="14"/>
      <c r="X8" s="14"/>
      <c r="Y8" s="14"/>
      <c r="Z8" s="14"/>
    </row>
    <row r="9" spans="1:26" ht="50.1" customHeight="1" x14ac:dyDescent="0.25">
      <c r="A9" s="121"/>
      <c r="B9" s="126" t="str">
        <f>"1.1"</f>
        <v>1.1</v>
      </c>
      <c r="C9" s="354" t="str">
        <f>VLOOKUP(Vocabularies!B214,Vocabularies!$B$1:$G$358,Vocabularies!$J$2,0)</f>
        <v>If no certification available, is there an environmental management system established compliant to a recognized standard, like EMAS (EU-regulation 1221/2009), ISO 14001 or BS 7750?</v>
      </c>
      <c r="D9" s="354"/>
      <c r="E9" s="354"/>
      <c r="F9" s="354"/>
      <c r="G9" s="355"/>
      <c r="H9" s="345"/>
      <c r="I9" s="346"/>
      <c r="J9" s="346"/>
      <c r="K9" s="346"/>
      <c r="L9" s="346"/>
      <c r="M9" s="346"/>
      <c r="N9" s="346"/>
      <c r="O9" s="346"/>
      <c r="P9" s="346"/>
      <c r="Q9" s="347"/>
      <c r="R9" s="74"/>
      <c r="S9" s="69" t="s">
        <v>156</v>
      </c>
      <c r="T9" s="72" t="str">
        <f>IF(S9=" ","",IF(S9="N/A","",IF(S9=2,"Green Grün",IF(S9=1,"Yellow Gelb",IF(S9=0,"Red Rot")))))</f>
        <v/>
      </c>
      <c r="U9" s="27"/>
      <c r="V9" s="14"/>
      <c r="W9" s="14"/>
      <c r="X9" s="14"/>
      <c r="Y9" s="14"/>
      <c r="Z9" s="14"/>
    </row>
    <row r="10" spans="1:26" ht="4.95" customHeight="1" x14ac:dyDescent="0.25">
      <c r="A10" s="127"/>
      <c r="B10" s="128"/>
      <c r="C10" s="129"/>
      <c r="D10" s="130"/>
      <c r="E10" s="130"/>
      <c r="F10" s="130"/>
      <c r="G10" s="131"/>
      <c r="H10" s="348"/>
      <c r="I10" s="349"/>
      <c r="J10" s="349"/>
      <c r="K10" s="349"/>
      <c r="L10" s="349"/>
      <c r="M10" s="349"/>
      <c r="N10" s="349"/>
      <c r="O10" s="349"/>
      <c r="P10" s="349"/>
      <c r="Q10" s="350"/>
      <c r="R10" s="4"/>
      <c r="S10" s="4"/>
      <c r="T10" s="7"/>
      <c r="U10" s="27"/>
      <c r="V10" s="14"/>
      <c r="W10" s="14"/>
      <c r="X10" s="14"/>
      <c r="Y10" s="14"/>
      <c r="Z10" s="14"/>
    </row>
    <row r="11" spans="1:26" ht="4.95" customHeight="1" x14ac:dyDescent="0.25">
      <c r="A11" s="121"/>
      <c r="B11" s="122"/>
      <c r="C11" s="55"/>
      <c r="D11" s="124"/>
      <c r="E11" s="124"/>
      <c r="F11" s="124"/>
      <c r="G11" s="125"/>
      <c r="H11" s="342"/>
      <c r="I11" s="343"/>
      <c r="J11" s="343"/>
      <c r="K11" s="343"/>
      <c r="L11" s="343"/>
      <c r="M11" s="343"/>
      <c r="N11" s="343"/>
      <c r="O11" s="343"/>
      <c r="P11" s="343"/>
      <c r="Q11" s="344"/>
      <c r="R11" s="3"/>
      <c r="S11" s="3"/>
      <c r="T11" s="6"/>
      <c r="U11" s="27"/>
      <c r="V11" s="14"/>
      <c r="W11" s="14"/>
      <c r="X11" s="14"/>
      <c r="Y11" s="14"/>
      <c r="Z11" s="14"/>
    </row>
    <row r="12" spans="1:26" ht="50.1" customHeight="1" x14ac:dyDescent="0.25">
      <c r="A12" s="121"/>
      <c r="B12" s="126" t="str">
        <f>"1.2"</f>
        <v>1.2</v>
      </c>
      <c r="C12" s="354" t="str">
        <f>VLOOKUP(Vocabularies!B215,Vocabularies!$B$1:$G$358,Vocabularies!$J$2,0)</f>
        <v xml:space="preserve">Is there an organizational structure considering environmental responsible(s) in the company? </v>
      </c>
      <c r="D12" s="354"/>
      <c r="E12" s="354"/>
      <c r="F12" s="354"/>
      <c r="G12" s="355"/>
      <c r="H12" s="345"/>
      <c r="I12" s="346"/>
      <c r="J12" s="346"/>
      <c r="K12" s="346"/>
      <c r="L12" s="346"/>
      <c r="M12" s="346"/>
      <c r="N12" s="346"/>
      <c r="O12" s="346"/>
      <c r="P12" s="346"/>
      <c r="Q12" s="347"/>
      <c r="R12" s="74"/>
      <c r="S12" s="69" t="s">
        <v>156</v>
      </c>
      <c r="T12" s="62" t="str">
        <f>IF(S12=" ","",IF(S12="N/A","",IF(S12=2,"Green Grün",IF(S12=1,"Yellow Gelb",IF(S12=0,"Red Rot")))))</f>
        <v/>
      </c>
      <c r="U12" s="27"/>
      <c r="V12" s="14"/>
      <c r="W12" s="14"/>
      <c r="X12" s="14"/>
      <c r="Y12" s="14"/>
      <c r="Z12" s="14"/>
    </row>
    <row r="13" spans="1:26" ht="4.95" customHeight="1" x14ac:dyDescent="0.25">
      <c r="A13" s="127"/>
      <c r="B13" s="132"/>
      <c r="C13" s="63"/>
      <c r="D13" s="130"/>
      <c r="E13" s="130"/>
      <c r="F13" s="130"/>
      <c r="G13" s="131"/>
      <c r="H13" s="348"/>
      <c r="I13" s="349"/>
      <c r="J13" s="349"/>
      <c r="K13" s="349"/>
      <c r="L13" s="349"/>
      <c r="M13" s="349"/>
      <c r="N13" s="349"/>
      <c r="O13" s="349"/>
      <c r="P13" s="349"/>
      <c r="Q13" s="350"/>
      <c r="R13" s="4"/>
      <c r="S13" s="4"/>
      <c r="T13" s="7"/>
      <c r="U13" s="27"/>
      <c r="V13" s="14"/>
      <c r="W13" s="14"/>
      <c r="X13" s="14"/>
      <c r="Y13" s="14"/>
      <c r="Z13" s="14"/>
    </row>
    <row r="14" spans="1:26" ht="4.95" customHeight="1" x14ac:dyDescent="0.25">
      <c r="A14" s="121"/>
      <c r="B14" s="122"/>
      <c r="C14" s="55"/>
      <c r="D14" s="124"/>
      <c r="E14" s="124"/>
      <c r="F14" s="124"/>
      <c r="G14" s="125"/>
      <c r="H14" s="342"/>
      <c r="I14" s="343"/>
      <c r="J14" s="343"/>
      <c r="K14" s="343"/>
      <c r="L14" s="343"/>
      <c r="M14" s="343"/>
      <c r="N14" s="343"/>
      <c r="O14" s="343"/>
      <c r="P14" s="343"/>
      <c r="Q14" s="344"/>
      <c r="R14" s="3"/>
      <c r="S14" s="3"/>
      <c r="T14" s="6"/>
      <c r="U14" s="27"/>
      <c r="V14" s="14"/>
      <c r="W14" s="14"/>
      <c r="X14" s="14"/>
      <c r="Y14" s="14"/>
      <c r="Z14" s="14"/>
    </row>
    <row r="15" spans="1:26" ht="50.1" customHeight="1" x14ac:dyDescent="0.25">
      <c r="A15" s="121"/>
      <c r="B15" s="126" t="str">
        <f>"1.3"</f>
        <v>1.3</v>
      </c>
      <c r="C15" s="354" t="str">
        <f>VLOOKUP(Vocabularies!B216,Vocabularies!$B$1:$G$358,Vocabularies!$J$2,0)</f>
        <v>Is compliance with environmental laws systematically determined, comprehensibly evaluated and documented?</v>
      </c>
      <c r="D15" s="354"/>
      <c r="E15" s="354"/>
      <c r="F15" s="354"/>
      <c r="G15" s="355"/>
      <c r="H15" s="345"/>
      <c r="I15" s="346"/>
      <c r="J15" s="346"/>
      <c r="K15" s="346"/>
      <c r="L15" s="346"/>
      <c r="M15" s="346"/>
      <c r="N15" s="346"/>
      <c r="O15" s="346"/>
      <c r="P15" s="346"/>
      <c r="Q15" s="347"/>
      <c r="R15" s="75"/>
      <c r="S15" s="69" t="s">
        <v>156</v>
      </c>
      <c r="T15" s="62" t="str">
        <f>IF(S15=" ","",IF(S15="N/A","",IF(S15=2,"Green Grün",IF(S15=1,"Yellow Gelb",IF(S15=0,"Red Rot")))))</f>
        <v/>
      </c>
      <c r="U15" s="27"/>
      <c r="V15" s="14"/>
      <c r="W15" s="14"/>
      <c r="X15" s="14"/>
      <c r="Y15" s="14"/>
      <c r="Z15" s="14"/>
    </row>
    <row r="16" spans="1:26" ht="4.95" customHeight="1" x14ac:dyDescent="0.25">
      <c r="A16" s="127"/>
      <c r="B16" s="132"/>
      <c r="C16" s="63"/>
      <c r="D16" s="130"/>
      <c r="E16" s="130"/>
      <c r="F16" s="130"/>
      <c r="G16" s="131"/>
      <c r="H16" s="348"/>
      <c r="I16" s="349"/>
      <c r="J16" s="349"/>
      <c r="K16" s="349"/>
      <c r="L16" s="349"/>
      <c r="M16" s="349"/>
      <c r="N16" s="349"/>
      <c r="O16" s="349"/>
      <c r="P16" s="349"/>
      <c r="Q16" s="350"/>
      <c r="R16" s="4"/>
      <c r="S16" s="4"/>
      <c r="T16" s="7"/>
    </row>
    <row r="17" spans="1:26" ht="4.95" customHeight="1" x14ac:dyDescent="0.25">
      <c r="A17" s="121"/>
      <c r="B17" s="122"/>
      <c r="C17" s="55"/>
      <c r="D17" s="124"/>
      <c r="E17" s="124"/>
      <c r="F17" s="124"/>
      <c r="G17" s="125"/>
      <c r="H17" s="342"/>
      <c r="I17" s="343"/>
      <c r="J17" s="343"/>
      <c r="K17" s="343"/>
      <c r="L17" s="343"/>
      <c r="M17" s="343"/>
      <c r="N17" s="343"/>
      <c r="O17" s="343"/>
      <c r="P17" s="343"/>
      <c r="Q17" s="344"/>
      <c r="R17" s="3"/>
      <c r="S17" s="3"/>
      <c r="T17" s="6"/>
    </row>
    <row r="18" spans="1:26" ht="50.1" customHeight="1" x14ac:dyDescent="0.25">
      <c r="A18" s="121"/>
      <c r="B18" s="126" t="str">
        <f>"1.4"</f>
        <v>1.4</v>
      </c>
      <c r="C18" s="354" t="str">
        <f>VLOOKUP(Vocabularies!B217,Vocabularies!$B$1:$G$358,Vocabularies!$J$2,0)</f>
        <v>Are there targets defined which support environmental protection? Can these targets be proven comprehensibly?</v>
      </c>
      <c r="D18" s="354"/>
      <c r="E18" s="354"/>
      <c r="F18" s="354"/>
      <c r="G18" s="355"/>
      <c r="H18" s="345"/>
      <c r="I18" s="346"/>
      <c r="J18" s="346"/>
      <c r="K18" s="346"/>
      <c r="L18" s="346"/>
      <c r="M18" s="346"/>
      <c r="N18" s="346"/>
      <c r="O18" s="346"/>
      <c r="P18" s="346"/>
      <c r="Q18" s="347"/>
      <c r="R18" s="74"/>
      <c r="S18" s="69" t="s">
        <v>156</v>
      </c>
      <c r="T18" s="72" t="str">
        <f>IF(S18=" ","",IF(S18="N/A","",IF(S18=2,"Green Grün",IF(S18=1,"Yellow Gelb",IF(S18=0,"Red Rot")))))</f>
        <v/>
      </c>
    </row>
    <row r="19" spans="1:26" ht="4.95" customHeight="1" x14ac:dyDescent="0.25">
      <c r="A19" s="127"/>
      <c r="B19" s="132"/>
      <c r="C19" s="63"/>
      <c r="D19" s="130"/>
      <c r="E19" s="130"/>
      <c r="F19" s="130"/>
      <c r="G19" s="131"/>
      <c r="H19" s="348"/>
      <c r="I19" s="349"/>
      <c r="J19" s="349"/>
      <c r="K19" s="349"/>
      <c r="L19" s="349"/>
      <c r="M19" s="349"/>
      <c r="N19" s="349"/>
      <c r="O19" s="349"/>
      <c r="P19" s="349"/>
      <c r="Q19" s="350"/>
      <c r="R19" s="4"/>
      <c r="S19" s="4"/>
      <c r="T19" s="7"/>
    </row>
    <row r="20" spans="1:26" ht="4.5" customHeight="1" x14ac:dyDescent="0.25">
      <c r="A20" s="133"/>
      <c r="B20" s="134"/>
      <c r="C20" s="135"/>
      <c r="D20" s="101"/>
      <c r="E20" s="101"/>
      <c r="F20" s="101"/>
      <c r="G20" s="136"/>
      <c r="H20" s="342"/>
      <c r="I20" s="343"/>
      <c r="J20" s="343"/>
      <c r="K20" s="343"/>
      <c r="L20" s="343"/>
      <c r="M20" s="343"/>
      <c r="N20" s="343"/>
      <c r="O20" s="343"/>
      <c r="P20" s="343"/>
      <c r="Q20" s="344"/>
      <c r="R20" s="8"/>
      <c r="S20" s="8"/>
      <c r="T20" s="9"/>
    </row>
    <row r="21" spans="1:26" ht="50.1" customHeight="1" x14ac:dyDescent="0.25">
      <c r="A21" s="121"/>
      <c r="B21" s="126" t="str">
        <f>"1.5"</f>
        <v>1.5</v>
      </c>
      <c r="C21" s="354" t="str">
        <f>VLOOKUP(Vocabularies!B218,Vocabularies!$B$1:$G$358,Vocabularies!$J$2,0)</f>
        <v xml:space="preserve">Is there an internal control system (e.g. by auditing) that considers the interests of environmental protection. </v>
      </c>
      <c r="D21" s="354"/>
      <c r="E21" s="354"/>
      <c r="F21" s="354"/>
      <c r="G21" s="355"/>
      <c r="H21" s="345"/>
      <c r="I21" s="346"/>
      <c r="J21" s="346"/>
      <c r="K21" s="346"/>
      <c r="L21" s="346"/>
      <c r="M21" s="346"/>
      <c r="N21" s="346"/>
      <c r="O21" s="346"/>
      <c r="P21" s="346"/>
      <c r="Q21" s="347"/>
      <c r="R21" s="74"/>
      <c r="S21" s="69" t="s">
        <v>156</v>
      </c>
      <c r="T21" s="72" t="str">
        <f>IF(S21=" ","",IF(S21="N/A","",IF(S21=2,"Green Grün",IF(S21=1,"Yellow Gelb",IF(S21=0,"Red Rot")))))</f>
        <v/>
      </c>
    </row>
    <row r="22" spans="1:26" ht="4.95" customHeight="1" x14ac:dyDescent="0.25">
      <c r="A22" s="127"/>
      <c r="B22" s="132"/>
      <c r="C22" s="63"/>
      <c r="D22" s="130"/>
      <c r="E22" s="130"/>
      <c r="F22" s="130"/>
      <c r="G22" s="131"/>
      <c r="H22" s="348"/>
      <c r="I22" s="349"/>
      <c r="J22" s="349"/>
      <c r="K22" s="349"/>
      <c r="L22" s="349"/>
      <c r="M22" s="349"/>
      <c r="N22" s="349"/>
      <c r="O22" s="349"/>
      <c r="P22" s="349"/>
      <c r="Q22" s="350"/>
      <c r="R22" s="4"/>
      <c r="S22" s="4"/>
      <c r="T22" s="7"/>
    </row>
    <row r="23" spans="1:26" ht="4.95" customHeight="1" x14ac:dyDescent="0.25">
      <c r="A23" s="121"/>
      <c r="B23" s="122"/>
      <c r="C23" s="55"/>
      <c r="D23" s="124"/>
      <c r="E23" s="124"/>
      <c r="F23" s="124"/>
      <c r="G23" s="125"/>
      <c r="H23" s="342"/>
      <c r="I23" s="343"/>
      <c r="J23" s="343"/>
      <c r="K23" s="343"/>
      <c r="L23" s="343"/>
      <c r="M23" s="343"/>
      <c r="N23" s="343"/>
      <c r="O23" s="343"/>
      <c r="P23" s="343"/>
      <c r="Q23" s="344"/>
      <c r="R23" s="3"/>
      <c r="S23" s="3"/>
      <c r="T23" s="6"/>
    </row>
    <row r="24" spans="1:26" ht="50.1" customHeight="1" x14ac:dyDescent="0.25">
      <c r="A24" s="121"/>
      <c r="B24" s="126" t="str">
        <f>"1.6"</f>
        <v>1.6</v>
      </c>
      <c r="C24" s="354" t="str">
        <f>VLOOKUP(Vocabularies!B219,Vocabularies!$B$1:$G$358,Vocabularies!$J$2,0)</f>
        <v>Are workers informed and trained regularly about environmental protection?</v>
      </c>
      <c r="D24" s="354"/>
      <c r="E24" s="354"/>
      <c r="F24" s="354"/>
      <c r="G24" s="355"/>
      <c r="H24" s="345"/>
      <c r="I24" s="346"/>
      <c r="J24" s="346"/>
      <c r="K24" s="346"/>
      <c r="L24" s="346"/>
      <c r="M24" s="346"/>
      <c r="N24" s="346"/>
      <c r="O24" s="346"/>
      <c r="P24" s="346"/>
      <c r="Q24" s="347"/>
      <c r="R24" s="74"/>
      <c r="S24" s="69" t="s">
        <v>156</v>
      </c>
      <c r="T24" s="72" t="str">
        <f>IF(S24=" ","",IF(S24="N/A","",IF(S24=2,"Green Grün",IF(S24=1,"Yellow Gelb",IF(S24=0,"Red Rot")))))</f>
        <v/>
      </c>
    </row>
    <row r="25" spans="1:26" s="65" customFormat="1" ht="4.5" customHeight="1" x14ac:dyDescent="0.25">
      <c r="A25" s="137"/>
      <c r="B25" s="138"/>
      <c r="C25" s="66"/>
      <c r="D25" s="66"/>
      <c r="E25" s="66"/>
      <c r="F25" s="66"/>
      <c r="G25" s="83"/>
      <c r="H25" s="348"/>
      <c r="I25" s="349"/>
      <c r="J25" s="349"/>
      <c r="K25" s="349"/>
      <c r="L25" s="349"/>
      <c r="M25" s="349"/>
      <c r="N25" s="349"/>
      <c r="O25" s="349"/>
      <c r="P25" s="349"/>
      <c r="Q25" s="350"/>
      <c r="R25" s="66"/>
      <c r="S25" s="67"/>
      <c r="T25" s="68"/>
      <c r="U25" s="28"/>
    </row>
    <row r="26" spans="1:26" s="28" customFormat="1" ht="15" customHeight="1" x14ac:dyDescent="0.3">
      <c r="A26" s="118" t="s">
        <v>150</v>
      </c>
      <c r="B26" s="56" t="str">
        <f>VLOOKUP(Vocabularies!B220,Vocabularies!$B$1:$G$358,Vocabularies!$J$2,0)</f>
        <v>Environmental-relevant processes, environmental consequences</v>
      </c>
      <c r="C26" s="139"/>
      <c r="D26" s="139"/>
      <c r="E26" s="139"/>
      <c r="F26" s="139"/>
      <c r="G26" s="140"/>
      <c r="H26" s="351" t="str">
        <f>VLOOKUP(Vocabularies!B111,Vocabularies!$B$1:$G$358,Vocabularies!$J$2,0)</f>
        <v>Comments (in case of answers „&lt;2 or N/A“)</v>
      </c>
      <c r="I26" s="352"/>
      <c r="J26" s="352"/>
      <c r="K26" s="352"/>
      <c r="L26" s="352"/>
      <c r="M26" s="352"/>
      <c r="N26" s="352"/>
      <c r="O26" s="352"/>
      <c r="P26" s="352"/>
      <c r="Q26" s="353"/>
      <c r="R26" s="381" t="str">
        <f>VLOOKUP(Vocabularies!B4,Vocabularies!$B$1:$G$358,Vocabularies!$J$2,0)</f>
        <v>Assessment</v>
      </c>
      <c r="S26" s="382"/>
      <c r="T26" s="383"/>
      <c r="V26"/>
      <c r="W26"/>
      <c r="X26"/>
      <c r="Y26"/>
      <c r="Z26"/>
    </row>
    <row r="27" spans="1:26" s="28" customFormat="1" ht="4.5" customHeight="1" x14ac:dyDescent="0.25">
      <c r="A27" s="121"/>
      <c r="B27" s="122"/>
      <c r="C27" s="55"/>
      <c r="D27" s="124"/>
      <c r="E27" s="124"/>
      <c r="F27" s="124"/>
      <c r="G27" s="125"/>
      <c r="H27" s="342"/>
      <c r="I27" s="343"/>
      <c r="J27" s="343"/>
      <c r="K27" s="343"/>
      <c r="L27" s="343"/>
      <c r="M27" s="343"/>
      <c r="N27" s="343"/>
      <c r="O27" s="343"/>
      <c r="P27" s="343"/>
      <c r="Q27" s="344"/>
      <c r="R27" s="3"/>
      <c r="S27"/>
      <c r="T27" s="62"/>
      <c r="V27"/>
      <c r="W27"/>
      <c r="X27"/>
      <c r="Y27"/>
      <c r="Z27"/>
    </row>
    <row r="28" spans="1:26" s="28" customFormat="1" ht="50.1" customHeight="1" x14ac:dyDescent="0.25">
      <c r="A28" s="121"/>
      <c r="B28" s="126" t="str">
        <f>"2.1"</f>
        <v>2.1</v>
      </c>
      <c r="C28" s="354" t="str">
        <f>VLOOKUP(Vocabularies!B221,Vocabularies!$B$1:$G$358,Vocabularies!$J$2,0)</f>
        <v>Is the impact on the environment of the products and production processes determined and documented systematically?</v>
      </c>
      <c r="D28" s="354"/>
      <c r="E28" s="354"/>
      <c r="F28" s="354"/>
      <c r="G28" s="355"/>
      <c r="H28" s="345"/>
      <c r="I28" s="346"/>
      <c r="J28" s="346"/>
      <c r="K28" s="346"/>
      <c r="L28" s="346"/>
      <c r="M28" s="346"/>
      <c r="N28" s="346"/>
      <c r="O28" s="346"/>
      <c r="P28" s="346"/>
      <c r="Q28" s="347"/>
      <c r="R28" s="74"/>
      <c r="S28" s="69" t="s">
        <v>156</v>
      </c>
      <c r="T28" s="62" t="str">
        <f>IF(S28=" ","",IF(S28="N/A","",IF(S28=2,"Green Grün",IF(S28=1,"Yellow Gelb",IF(S28=0,"Red Rot")))))</f>
        <v/>
      </c>
      <c r="V28"/>
      <c r="W28"/>
      <c r="X28"/>
      <c r="Y28"/>
      <c r="Z28"/>
    </row>
    <row r="29" spans="1:26" s="28" customFormat="1" ht="4.5" customHeight="1" x14ac:dyDescent="0.25">
      <c r="A29" s="127"/>
      <c r="B29" s="132"/>
      <c r="C29" s="146"/>
      <c r="D29" s="146"/>
      <c r="E29" s="146"/>
      <c r="F29" s="146"/>
      <c r="G29" s="147"/>
      <c r="H29" s="348"/>
      <c r="I29" s="349"/>
      <c r="J29" s="349"/>
      <c r="K29" s="349"/>
      <c r="L29" s="349"/>
      <c r="M29" s="349"/>
      <c r="N29" s="349"/>
      <c r="O29" s="349"/>
      <c r="P29" s="349"/>
      <c r="Q29" s="350"/>
      <c r="R29" s="70"/>
      <c r="S29" s="4"/>
      <c r="T29" s="64"/>
      <c r="V29"/>
      <c r="W29"/>
      <c r="X29"/>
      <c r="Y29"/>
      <c r="Z29"/>
    </row>
    <row r="30" spans="1:26" s="28" customFormat="1" ht="4.5" customHeight="1" x14ac:dyDescent="0.25">
      <c r="A30" s="121"/>
      <c r="B30" s="122"/>
      <c r="C30" s="55"/>
      <c r="D30" s="124"/>
      <c r="E30" s="124"/>
      <c r="F30" s="124"/>
      <c r="G30" s="125"/>
      <c r="H30" s="342"/>
      <c r="I30" s="343"/>
      <c r="J30" s="343"/>
      <c r="K30" s="343"/>
      <c r="L30" s="343"/>
      <c r="M30" s="343"/>
      <c r="N30" s="343"/>
      <c r="O30" s="343"/>
      <c r="P30" s="343"/>
      <c r="Q30" s="344"/>
      <c r="R30" s="3"/>
      <c r="S30"/>
      <c r="T30" s="62"/>
      <c r="V30"/>
      <c r="W30"/>
      <c r="X30"/>
      <c r="Y30"/>
      <c r="Z30"/>
    </row>
    <row r="31" spans="1:26" s="28" customFormat="1" ht="50.1" customHeight="1" x14ac:dyDescent="0.25">
      <c r="A31" s="121"/>
      <c r="B31" s="126" t="str">
        <f>"2.2"</f>
        <v>2.2</v>
      </c>
      <c r="C31" s="354" t="str">
        <f>VLOOKUP(Vocabularies!B222,Vocabularies!$B$1:$G$358,Vocabularies!$J$2,0)</f>
        <v>Is re-useable packaging in use and is non-returnable packaging recycled?</v>
      </c>
      <c r="D31" s="354"/>
      <c r="E31" s="354"/>
      <c r="F31" s="354"/>
      <c r="G31" s="355"/>
      <c r="H31" s="345"/>
      <c r="I31" s="346"/>
      <c r="J31" s="346"/>
      <c r="K31" s="346"/>
      <c r="L31" s="346"/>
      <c r="M31" s="346"/>
      <c r="N31" s="346"/>
      <c r="O31" s="346"/>
      <c r="P31" s="346"/>
      <c r="Q31" s="347"/>
      <c r="R31" s="74"/>
      <c r="S31" s="69" t="s">
        <v>156</v>
      </c>
      <c r="T31" s="62" t="str">
        <f>IF(S31=" ","",IF(S31="N/A","",IF(S31=2,"Green Grün",IF(S31=1,"Yellow Gelb",IF(S31=0,"Red Rot")))))</f>
        <v/>
      </c>
      <c r="V31"/>
      <c r="W31"/>
      <c r="X31"/>
      <c r="Y31"/>
      <c r="Z31"/>
    </row>
    <row r="32" spans="1:26" s="28" customFormat="1" ht="4.5" customHeight="1" x14ac:dyDescent="0.25">
      <c r="A32" s="127"/>
      <c r="B32" s="132"/>
      <c r="C32" s="146"/>
      <c r="D32" s="146"/>
      <c r="E32" s="146"/>
      <c r="F32" s="146"/>
      <c r="G32" s="147"/>
      <c r="H32" s="348"/>
      <c r="I32" s="349"/>
      <c r="J32" s="349"/>
      <c r="K32" s="349"/>
      <c r="L32" s="349"/>
      <c r="M32" s="349"/>
      <c r="N32" s="349"/>
      <c r="O32" s="349"/>
      <c r="P32" s="349"/>
      <c r="Q32" s="350"/>
      <c r="R32" s="70"/>
      <c r="S32" s="4"/>
      <c r="T32" s="64"/>
      <c r="V32"/>
      <c r="W32"/>
      <c r="X32"/>
      <c r="Y32"/>
      <c r="Z32"/>
    </row>
    <row r="33" spans="1:26" s="28" customFormat="1" ht="4.5" customHeight="1" x14ac:dyDescent="0.25">
      <c r="A33" s="121"/>
      <c r="B33" s="122"/>
      <c r="C33" s="55"/>
      <c r="D33" s="124"/>
      <c r="E33" s="124"/>
      <c r="F33" s="124"/>
      <c r="G33" s="125"/>
      <c r="H33" s="342"/>
      <c r="I33" s="343"/>
      <c r="J33" s="343"/>
      <c r="K33" s="343"/>
      <c r="L33" s="343"/>
      <c r="M33" s="343"/>
      <c r="N33" s="343"/>
      <c r="O33" s="343"/>
      <c r="P33" s="343"/>
      <c r="Q33" s="344"/>
      <c r="R33" s="3"/>
      <c r="S33"/>
      <c r="T33" s="62"/>
      <c r="V33"/>
      <c r="W33"/>
      <c r="X33"/>
      <c r="Y33"/>
      <c r="Z33"/>
    </row>
    <row r="34" spans="1:26" s="28" customFormat="1" ht="49.5" customHeight="1" x14ac:dyDescent="0.25">
      <c r="A34" s="121"/>
      <c r="B34" s="126" t="str">
        <f>"2.3"</f>
        <v>2.3</v>
      </c>
      <c r="C34" s="354" t="str">
        <f>VLOOKUP(Vocabularies!B223,Vocabularies!$B$1:$G$358,Vocabularies!$J$2,0)</f>
        <v>When transporting of goods is required, are vehicles equipped with a soot particle filter, which fulfills the higher exhaust standards (in Europe: EURO IV or better)?</v>
      </c>
      <c r="D34" s="354"/>
      <c r="E34" s="354"/>
      <c r="F34" s="354"/>
      <c r="G34" s="355"/>
      <c r="H34" s="345"/>
      <c r="I34" s="346"/>
      <c r="J34" s="346"/>
      <c r="K34" s="346"/>
      <c r="L34" s="346"/>
      <c r="M34" s="346"/>
      <c r="N34" s="346"/>
      <c r="O34" s="346"/>
      <c r="P34" s="346"/>
      <c r="Q34" s="347"/>
      <c r="R34" s="74"/>
      <c r="S34" s="69" t="s">
        <v>156</v>
      </c>
      <c r="T34" s="62" t="str">
        <f>IF(S34=" ","",IF(S34="N/A","",IF(S34=2,"Green Grün",IF(S34=1,"Yellow Gelb",IF(S34=0,"Red Rot")))))</f>
        <v/>
      </c>
      <c r="V34"/>
      <c r="W34"/>
      <c r="X34"/>
      <c r="Y34"/>
      <c r="Z34"/>
    </row>
    <row r="35" spans="1:26" s="28" customFormat="1" ht="4.5" customHeight="1" x14ac:dyDescent="0.25">
      <c r="A35" s="127"/>
      <c r="B35" s="132"/>
      <c r="C35" s="146"/>
      <c r="D35" s="146"/>
      <c r="E35" s="146"/>
      <c r="F35" s="146"/>
      <c r="G35" s="147"/>
      <c r="H35" s="348"/>
      <c r="I35" s="349"/>
      <c r="J35" s="349"/>
      <c r="K35" s="349"/>
      <c r="L35" s="349"/>
      <c r="M35" s="349"/>
      <c r="N35" s="349"/>
      <c r="O35" s="349"/>
      <c r="P35" s="349"/>
      <c r="Q35" s="350"/>
      <c r="R35" s="70"/>
      <c r="S35" s="4"/>
      <c r="T35" s="64"/>
      <c r="V35"/>
      <c r="W35"/>
      <c r="X35"/>
      <c r="Y35"/>
      <c r="Z35"/>
    </row>
    <row r="36" spans="1:26" s="28" customFormat="1" ht="4.5" customHeight="1" x14ac:dyDescent="0.25">
      <c r="A36" s="121"/>
      <c r="B36" s="122"/>
      <c r="C36" s="55"/>
      <c r="D36" s="124"/>
      <c r="E36" s="124"/>
      <c r="F36" s="124"/>
      <c r="G36" s="125"/>
      <c r="H36" s="342"/>
      <c r="I36" s="343"/>
      <c r="J36" s="343"/>
      <c r="K36" s="343"/>
      <c r="L36" s="343"/>
      <c r="M36" s="343"/>
      <c r="N36" s="343"/>
      <c r="O36" s="343"/>
      <c r="P36" s="343"/>
      <c r="Q36" s="344"/>
      <c r="R36" s="3"/>
      <c r="S36"/>
      <c r="T36" s="62"/>
      <c r="V36"/>
      <c r="W36"/>
      <c r="X36"/>
      <c r="Y36"/>
      <c r="Z36"/>
    </row>
    <row r="37" spans="1:26" s="28" customFormat="1" ht="50.1" customHeight="1" x14ac:dyDescent="0.25">
      <c r="A37" s="121"/>
      <c r="B37" s="126" t="str">
        <f>"2.4"</f>
        <v>2.4</v>
      </c>
      <c r="C37" s="354" t="str">
        <f>VLOOKUP(Vocabularies!B224,Vocabularies!$B$1:$G$358,Vocabularies!$J$2,0)</f>
        <v xml:space="preserve">Do you work towards the improvement of environmental protection with your suppliers and contracting parties? </v>
      </c>
      <c r="D37" s="354"/>
      <c r="E37" s="354"/>
      <c r="F37" s="354"/>
      <c r="G37" s="355"/>
      <c r="H37" s="345"/>
      <c r="I37" s="346"/>
      <c r="J37" s="346"/>
      <c r="K37" s="346"/>
      <c r="L37" s="346"/>
      <c r="M37" s="346"/>
      <c r="N37" s="346"/>
      <c r="O37" s="346"/>
      <c r="P37" s="346"/>
      <c r="Q37" s="347"/>
      <c r="R37" s="74"/>
      <c r="S37" s="69" t="s">
        <v>156</v>
      </c>
      <c r="T37" s="62" t="str">
        <f>IF(S37=" ","",IF(S37="N/A","",IF(S37=2,"Green Grün",IF(S37=1,"Yellow Gelb",IF(S37=0,"Red Rot")))))</f>
        <v/>
      </c>
      <c r="V37"/>
      <c r="W37"/>
      <c r="X37"/>
      <c r="Y37"/>
      <c r="Z37"/>
    </row>
    <row r="38" spans="1:26" s="28" customFormat="1" ht="4.5" customHeight="1" x14ac:dyDescent="0.25">
      <c r="A38" s="127"/>
      <c r="B38" s="132"/>
      <c r="C38" s="146"/>
      <c r="D38" s="146"/>
      <c r="E38" s="146"/>
      <c r="F38" s="146"/>
      <c r="G38" s="147"/>
      <c r="H38" s="251"/>
      <c r="I38" s="252"/>
      <c r="J38" s="252"/>
      <c r="K38" s="252"/>
      <c r="L38" s="252"/>
      <c r="M38" s="252"/>
      <c r="N38" s="252"/>
      <c r="O38" s="252"/>
      <c r="P38" s="252"/>
      <c r="Q38" s="253"/>
      <c r="R38" s="70"/>
      <c r="S38" s="4"/>
      <c r="T38" s="64"/>
      <c r="V38"/>
      <c r="W38"/>
      <c r="X38"/>
      <c r="Y38"/>
      <c r="Z38"/>
    </row>
    <row r="39" spans="1:26" ht="17.399999999999999" x14ac:dyDescent="0.3">
      <c r="A39" s="118" t="s">
        <v>151</v>
      </c>
      <c r="B39" s="56" t="str">
        <f>VLOOKUP(Vocabularies!B225,Vocabularies!$B$1:$G$358,Vocabularies!$J$2,0)</f>
        <v>Information about safety management in the company</v>
      </c>
      <c r="C39" s="139"/>
      <c r="D39" s="139"/>
      <c r="E39" s="139"/>
      <c r="F39" s="139"/>
      <c r="G39" s="140"/>
      <c r="H39" s="351" t="str">
        <f>VLOOKUP(Vocabularies!B111,Vocabularies!$B$1:$G$358,Vocabularies!$J$2,0)</f>
        <v>Comments (in case of answers „&lt;2 or N/A“)</v>
      </c>
      <c r="I39" s="352"/>
      <c r="J39" s="352"/>
      <c r="K39" s="352"/>
      <c r="L39" s="352"/>
      <c r="M39" s="352"/>
      <c r="N39" s="352"/>
      <c r="O39" s="352"/>
      <c r="P39" s="352"/>
      <c r="Q39" s="353"/>
      <c r="R39" s="381" t="str">
        <f>VLOOKUP(Vocabularies!B4,Vocabularies!$B$1:$G$358,Vocabularies!$J$2,0)</f>
        <v>Assessment</v>
      </c>
      <c r="S39" s="382"/>
      <c r="T39" s="383"/>
    </row>
    <row r="40" spans="1:26" ht="5.25" customHeight="1" x14ac:dyDescent="0.25">
      <c r="A40" s="121"/>
      <c r="B40" s="122"/>
      <c r="C40" s="55"/>
      <c r="D40" s="124"/>
      <c r="E40" s="124"/>
      <c r="F40" s="124"/>
      <c r="G40" s="125"/>
      <c r="H40" s="342"/>
      <c r="I40" s="343"/>
      <c r="J40" s="343"/>
      <c r="K40" s="343"/>
      <c r="L40" s="343"/>
      <c r="M40" s="343"/>
      <c r="N40" s="343"/>
      <c r="O40" s="343"/>
      <c r="P40" s="343"/>
      <c r="Q40" s="344"/>
      <c r="R40" s="3"/>
      <c r="T40" s="62"/>
    </row>
    <row r="41" spans="1:26" ht="50.25" customHeight="1" x14ac:dyDescent="0.25">
      <c r="A41" s="121"/>
      <c r="B41" s="126" t="str">
        <f>"3.1"</f>
        <v>3.1</v>
      </c>
      <c r="C41" s="354" t="str">
        <f>VLOOKUP(Vocabularies!B226,Vocabularies!$B$1:$G$358,Vocabularies!$J$2,0)</f>
        <v>If no certification available, is there an occupational health and safety management system established compliant to a recognized standard, like OHSAS 18001, OHRIS or SCC?</v>
      </c>
      <c r="D41" s="354"/>
      <c r="E41" s="354"/>
      <c r="F41" s="354"/>
      <c r="G41" s="355"/>
      <c r="H41" s="345"/>
      <c r="I41" s="346"/>
      <c r="J41" s="346"/>
      <c r="K41" s="346"/>
      <c r="L41" s="346"/>
      <c r="M41" s="346"/>
      <c r="N41" s="346"/>
      <c r="O41" s="346"/>
      <c r="P41" s="346"/>
      <c r="Q41" s="347"/>
      <c r="R41" s="74"/>
      <c r="S41" s="69" t="s">
        <v>156</v>
      </c>
      <c r="T41" s="62" t="str">
        <f>IF(S41=" ","",IF(S41="N/A","",IF(S41=2,"Green Grün",IF(S41=1,"Yellow Gelb",IF(S41=0,"Red Rot")))))</f>
        <v/>
      </c>
    </row>
    <row r="42" spans="1:26" ht="5.25" customHeight="1" x14ac:dyDescent="0.25">
      <c r="A42" s="127"/>
      <c r="B42" s="132"/>
      <c r="C42" s="146"/>
      <c r="D42" s="146"/>
      <c r="E42" s="146"/>
      <c r="F42" s="146"/>
      <c r="G42" s="147"/>
      <c r="H42" s="348"/>
      <c r="I42" s="349"/>
      <c r="J42" s="349"/>
      <c r="K42" s="349"/>
      <c r="L42" s="349"/>
      <c r="M42" s="349"/>
      <c r="N42" s="349"/>
      <c r="O42" s="349"/>
      <c r="P42" s="349"/>
      <c r="Q42" s="350"/>
      <c r="R42" s="70"/>
      <c r="S42" s="4"/>
      <c r="T42" s="64"/>
    </row>
    <row r="43" spans="1:26" ht="5.25" customHeight="1" x14ac:dyDescent="0.25">
      <c r="A43" s="121"/>
      <c r="B43" s="122"/>
      <c r="C43" s="55"/>
      <c r="D43" s="124"/>
      <c r="E43" s="124"/>
      <c r="F43" s="124"/>
      <c r="G43" s="125"/>
      <c r="H43" s="342"/>
      <c r="I43" s="343"/>
      <c r="J43" s="343"/>
      <c r="K43" s="343"/>
      <c r="L43" s="343"/>
      <c r="M43" s="343"/>
      <c r="N43" s="343"/>
      <c r="O43" s="343"/>
      <c r="P43" s="343"/>
      <c r="Q43" s="344"/>
      <c r="R43" s="3"/>
      <c r="T43" s="62"/>
    </row>
    <row r="44" spans="1:26" ht="43.2" customHeight="1" x14ac:dyDescent="0.25">
      <c r="A44" s="121"/>
      <c r="B44" s="126" t="str">
        <f>"3.2"</f>
        <v>3.2</v>
      </c>
      <c r="C44" s="354" t="str">
        <f>VLOOKUP(Vocabularies!B227,Vocabularies!$B$1:$G$358,Vocabularies!$J$2,0)</f>
        <v xml:space="preserve">Is there an organizational structure considering safety specialists in the company? </v>
      </c>
      <c r="D44" s="354"/>
      <c r="E44" s="354"/>
      <c r="F44" s="354"/>
      <c r="G44" s="355"/>
      <c r="H44" s="345"/>
      <c r="I44" s="346"/>
      <c r="J44" s="346"/>
      <c r="K44" s="346"/>
      <c r="L44" s="346"/>
      <c r="M44" s="346"/>
      <c r="N44" s="346"/>
      <c r="O44" s="346"/>
      <c r="P44" s="346"/>
      <c r="Q44" s="347"/>
      <c r="R44" s="74"/>
      <c r="S44" s="69" t="s">
        <v>156</v>
      </c>
      <c r="T44" s="62" t="str">
        <f>IF(S44=" ","",IF(S44="N/A","",IF(S44=2,"Green Grün",IF(S44=1,"Yellow Gelb",IF(S44=0,"Red Rot")))))</f>
        <v/>
      </c>
    </row>
    <row r="45" spans="1:26" ht="5.25" customHeight="1" x14ac:dyDescent="0.25">
      <c r="A45" s="127"/>
      <c r="B45" s="132"/>
      <c r="C45" s="146"/>
      <c r="D45" s="146"/>
      <c r="E45" s="146"/>
      <c r="F45" s="146"/>
      <c r="G45" s="147"/>
      <c r="H45" s="348"/>
      <c r="I45" s="349"/>
      <c r="J45" s="349"/>
      <c r="K45" s="349"/>
      <c r="L45" s="349"/>
      <c r="M45" s="349"/>
      <c r="N45" s="349"/>
      <c r="O45" s="349"/>
      <c r="P45" s="349"/>
      <c r="Q45" s="350"/>
      <c r="R45" s="70"/>
      <c r="S45" s="4"/>
      <c r="T45" s="64"/>
    </row>
    <row r="46" spans="1:26" ht="5.25" customHeight="1" x14ac:dyDescent="0.25">
      <c r="A46" s="121"/>
      <c r="B46" s="122"/>
      <c r="C46" s="408"/>
      <c r="D46" s="408"/>
      <c r="E46" s="408"/>
      <c r="F46" s="408"/>
      <c r="G46" s="409"/>
      <c r="H46" s="254"/>
      <c r="I46" s="255"/>
      <c r="J46" s="255"/>
      <c r="K46" s="255"/>
      <c r="L46" s="255"/>
      <c r="M46" s="255"/>
      <c r="N46" s="255"/>
      <c r="O46" s="255"/>
      <c r="P46" s="255"/>
      <c r="Q46" s="256"/>
      <c r="R46" s="36"/>
      <c r="S46" s="3"/>
      <c r="T46" s="62"/>
    </row>
    <row r="47" spans="1:26" ht="5.25" customHeight="1" x14ac:dyDescent="0.25">
      <c r="A47" s="121"/>
      <c r="B47" s="122"/>
      <c r="C47" s="408"/>
      <c r="D47" s="408"/>
      <c r="E47" s="408"/>
      <c r="F47" s="408"/>
      <c r="G47" s="409"/>
      <c r="H47" s="254"/>
      <c r="I47" s="255"/>
      <c r="J47" s="255"/>
      <c r="K47" s="255"/>
      <c r="L47" s="255"/>
      <c r="M47" s="255"/>
      <c r="N47" s="255"/>
      <c r="O47" s="255"/>
      <c r="P47" s="255"/>
      <c r="Q47" s="256"/>
      <c r="R47" s="36"/>
      <c r="S47" s="3"/>
      <c r="T47" s="62"/>
    </row>
    <row r="48" spans="1:26" ht="5.25" customHeight="1" x14ac:dyDescent="0.25">
      <c r="A48" s="121"/>
      <c r="B48" s="122"/>
      <c r="C48" s="55"/>
      <c r="D48" s="124"/>
      <c r="E48" s="124"/>
      <c r="F48" s="124"/>
      <c r="G48" s="125"/>
      <c r="H48" s="342"/>
      <c r="I48" s="343"/>
      <c r="J48" s="343"/>
      <c r="K48" s="343"/>
      <c r="L48" s="343"/>
      <c r="M48" s="343"/>
      <c r="N48" s="343"/>
      <c r="O48" s="343"/>
      <c r="P48" s="343"/>
      <c r="Q48" s="344"/>
      <c r="R48" s="3"/>
      <c r="T48" s="62"/>
    </row>
    <row r="49" spans="1:20" ht="67.5" customHeight="1" x14ac:dyDescent="0.25">
      <c r="A49" s="121"/>
      <c r="B49" s="126" t="str">
        <f>"3.3"</f>
        <v>3.3</v>
      </c>
      <c r="C49" s="354" t="str">
        <f>VLOOKUP(Vocabularies!B228,Vocabularies!$B$1:$G$358,Vocabularies!$J$2,0)</f>
        <v>Is compliance with occupational health and safety laws systematically determined, comprehensibly evaluated and documented?
Do the word-conditions correspond to the general ergonomic and health principles?</v>
      </c>
      <c r="D49" s="354"/>
      <c r="E49" s="354"/>
      <c r="F49" s="354"/>
      <c r="G49" s="355"/>
      <c r="H49" s="345"/>
      <c r="I49" s="346"/>
      <c r="J49" s="346"/>
      <c r="K49" s="346"/>
      <c r="L49" s="346"/>
      <c r="M49" s="346"/>
      <c r="N49" s="346"/>
      <c r="O49" s="346"/>
      <c r="P49" s="346"/>
      <c r="Q49" s="347"/>
      <c r="R49" s="74"/>
      <c r="S49" s="69" t="s">
        <v>156</v>
      </c>
      <c r="T49" s="62" t="str">
        <f>IF(S49=" ","",IF(S49="N/A","",IF(S49=2,"Green Grün",IF(S49=1,"Yellow Gelb",IF(S49=0,"Red Rot")))))</f>
        <v/>
      </c>
    </row>
    <row r="50" spans="1:20" ht="5.25" customHeight="1" x14ac:dyDescent="0.25">
      <c r="A50" s="127"/>
      <c r="B50" s="132"/>
      <c r="C50" s="146"/>
      <c r="D50" s="146"/>
      <c r="E50" s="146"/>
      <c r="F50" s="146"/>
      <c r="G50" s="147"/>
      <c r="H50" s="348"/>
      <c r="I50" s="349"/>
      <c r="J50" s="349"/>
      <c r="K50" s="349"/>
      <c r="L50" s="349"/>
      <c r="M50" s="349"/>
      <c r="N50" s="349"/>
      <c r="O50" s="349"/>
      <c r="P50" s="349"/>
      <c r="Q50" s="350"/>
      <c r="R50" s="70"/>
      <c r="S50" s="4"/>
      <c r="T50" s="64"/>
    </row>
    <row r="51" spans="1:20" ht="5.25" customHeight="1" x14ac:dyDescent="0.25">
      <c r="A51" s="121"/>
      <c r="B51" s="122"/>
      <c r="C51" s="55"/>
      <c r="D51" s="124"/>
      <c r="E51" s="124"/>
      <c r="F51" s="124"/>
      <c r="G51" s="125"/>
      <c r="H51" s="342"/>
      <c r="I51" s="343"/>
      <c r="J51" s="343"/>
      <c r="K51" s="343"/>
      <c r="L51" s="343"/>
      <c r="M51" s="343"/>
      <c r="N51" s="343"/>
      <c r="O51" s="343"/>
      <c r="P51" s="343"/>
      <c r="Q51" s="344"/>
      <c r="R51" s="3"/>
      <c r="T51" s="62"/>
    </row>
    <row r="52" spans="1:20" ht="50.25" customHeight="1" x14ac:dyDescent="0.25">
      <c r="A52" s="121"/>
      <c r="B52" s="126" t="str">
        <f>"3.4"</f>
        <v>3.4</v>
      </c>
      <c r="C52" s="354" t="str">
        <f>VLOOKUP(Vocabularies!B229,Vocabularies!$B$1:$G$358,Vocabularies!$J$2,0)</f>
        <v>Can it be guaranteed that when entering or working on KB working areas, the safety rules like „Safety Guidelines“ or „Safety rules for contractors“ are followed?</v>
      </c>
      <c r="D52" s="354"/>
      <c r="E52" s="354"/>
      <c r="F52" s="354"/>
      <c r="G52" s="355"/>
      <c r="H52" s="345"/>
      <c r="I52" s="346"/>
      <c r="J52" s="346"/>
      <c r="K52" s="346"/>
      <c r="L52" s="346"/>
      <c r="M52" s="346"/>
      <c r="N52" s="346"/>
      <c r="O52" s="346"/>
      <c r="P52" s="346"/>
      <c r="Q52" s="347"/>
      <c r="R52" s="74"/>
      <c r="S52" s="69" t="s">
        <v>156</v>
      </c>
      <c r="T52" s="62" t="str">
        <f>IF(S52=" ","",IF(S52="N/A","",IF(S52=2,"Green Grün",IF(S52=1,"Yellow Gelb",IF(S52=0,"Red Rot")))))</f>
        <v/>
      </c>
    </row>
    <row r="53" spans="1:20" ht="5.25" customHeight="1" x14ac:dyDescent="0.25">
      <c r="A53" s="127"/>
      <c r="B53" s="132"/>
      <c r="C53" s="146"/>
      <c r="D53" s="146"/>
      <c r="E53" s="146"/>
      <c r="F53" s="146"/>
      <c r="G53" s="147"/>
      <c r="H53" s="348"/>
      <c r="I53" s="349"/>
      <c r="J53" s="349"/>
      <c r="K53" s="349"/>
      <c r="L53" s="349"/>
      <c r="M53" s="349"/>
      <c r="N53" s="349"/>
      <c r="O53" s="349"/>
      <c r="P53" s="349"/>
      <c r="Q53" s="350"/>
      <c r="R53" s="70"/>
      <c r="S53" s="4"/>
      <c r="T53" s="64"/>
    </row>
    <row r="54" spans="1:20" ht="5.25" customHeight="1" x14ac:dyDescent="0.3">
      <c r="A54" s="121"/>
      <c r="B54" s="122"/>
      <c r="C54" s="123"/>
      <c r="D54" s="124"/>
      <c r="E54" s="124"/>
      <c r="F54" s="124"/>
      <c r="G54" s="125"/>
      <c r="H54" s="342"/>
      <c r="I54" s="343"/>
      <c r="J54" s="343"/>
      <c r="K54" s="343"/>
      <c r="L54" s="343"/>
      <c r="M54" s="343"/>
      <c r="N54" s="343"/>
      <c r="O54" s="343"/>
      <c r="P54" s="343"/>
      <c r="Q54" s="344"/>
      <c r="R54" s="3"/>
      <c r="S54" s="3"/>
      <c r="T54" s="6"/>
    </row>
    <row r="55" spans="1:20" ht="50.25" customHeight="1" x14ac:dyDescent="0.25">
      <c r="A55" s="121"/>
      <c r="B55" s="126" t="str">
        <f>"3.5"</f>
        <v>3.5</v>
      </c>
      <c r="C55" s="354" t="str">
        <f>VLOOKUP(Vocabularies!B230,Vocabularies!$B$1:$G$358,Vocabularies!$J$2,0)</f>
        <v>Is there an internal control system (e.g. by auditing) that considers the interests of occupational health and safety as well as the order and cleanliness?</v>
      </c>
      <c r="D55" s="354"/>
      <c r="E55" s="354"/>
      <c r="F55" s="354"/>
      <c r="G55" s="355"/>
      <c r="H55" s="345"/>
      <c r="I55" s="346"/>
      <c r="J55" s="346"/>
      <c r="K55" s="346"/>
      <c r="L55" s="346"/>
      <c r="M55" s="346"/>
      <c r="N55" s="346"/>
      <c r="O55" s="346"/>
      <c r="P55" s="346"/>
      <c r="Q55" s="347"/>
      <c r="R55" s="74"/>
      <c r="S55" s="69" t="s">
        <v>156</v>
      </c>
      <c r="T55" s="72" t="str">
        <f>IF(S55=" ","",IF(S55="N/A","",IF(S55=2,"Green Grün",IF(S55=1,"Yellow Gelb",IF(S55=0,"Red Rot")))))</f>
        <v/>
      </c>
    </row>
    <row r="56" spans="1:20" ht="5.25" customHeight="1" x14ac:dyDescent="0.25">
      <c r="A56" s="127"/>
      <c r="B56" s="128"/>
      <c r="C56" s="129"/>
      <c r="D56" s="130"/>
      <c r="E56" s="130"/>
      <c r="F56" s="130"/>
      <c r="G56" s="131"/>
      <c r="H56" s="348"/>
      <c r="I56" s="349"/>
      <c r="J56" s="349"/>
      <c r="K56" s="349"/>
      <c r="L56" s="349"/>
      <c r="M56" s="349"/>
      <c r="N56" s="349"/>
      <c r="O56" s="349"/>
      <c r="P56" s="349"/>
      <c r="Q56" s="350"/>
      <c r="R56" s="4"/>
      <c r="S56" s="4"/>
      <c r="T56" s="7"/>
    </row>
    <row r="57" spans="1:20" ht="5.25" customHeight="1" x14ac:dyDescent="0.25">
      <c r="A57" s="121"/>
      <c r="B57" s="122"/>
      <c r="C57" s="55"/>
      <c r="D57" s="124"/>
      <c r="E57" s="124"/>
      <c r="F57" s="124"/>
      <c r="G57" s="125"/>
      <c r="H57" s="342"/>
      <c r="I57" s="343"/>
      <c r="J57" s="343"/>
      <c r="K57" s="343"/>
      <c r="L57" s="343"/>
      <c r="M57" s="343"/>
      <c r="N57" s="343"/>
      <c r="O57" s="343"/>
      <c r="P57" s="343"/>
      <c r="Q57" s="344"/>
      <c r="R57" s="3"/>
      <c r="T57" s="62"/>
    </row>
    <row r="58" spans="1:20" ht="50.25" customHeight="1" x14ac:dyDescent="0.25">
      <c r="A58" s="121"/>
      <c r="B58" s="126" t="str">
        <f>"3.6"</f>
        <v>3.6</v>
      </c>
      <c r="C58" s="354" t="str">
        <f>VLOOKUP(Vocabularies!B231,Vocabularies!$B$1:$G$358,Vocabularies!$J$2,0)</f>
        <v>Are workers informed and trained regularly about safety?</v>
      </c>
      <c r="D58" s="354"/>
      <c r="E58" s="354"/>
      <c r="F58" s="354"/>
      <c r="G58" s="355"/>
      <c r="H58" s="345"/>
      <c r="I58" s="346"/>
      <c r="J58" s="346"/>
      <c r="K58" s="346"/>
      <c r="L58" s="346"/>
      <c r="M58" s="346"/>
      <c r="N58" s="346"/>
      <c r="O58" s="346"/>
      <c r="P58" s="346"/>
      <c r="Q58" s="347"/>
      <c r="R58" s="74"/>
      <c r="S58" s="69" t="s">
        <v>156</v>
      </c>
      <c r="T58" s="62" t="str">
        <f>IF(S58=" ","",IF(S58="N/A","",IF(S58=2,"Green Grün",IF(S58=1,"Yellow Gelb",IF(S58=0,"Red Rot")))))</f>
        <v/>
      </c>
    </row>
    <row r="59" spans="1:20" ht="5.25" customHeight="1" x14ac:dyDescent="0.25">
      <c r="A59" s="127"/>
      <c r="B59" s="132"/>
      <c r="C59" s="146"/>
      <c r="D59" s="146"/>
      <c r="E59" s="146"/>
      <c r="F59" s="146"/>
      <c r="G59" s="147"/>
      <c r="H59" s="348"/>
      <c r="I59" s="349"/>
      <c r="J59" s="349"/>
      <c r="K59" s="349"/>
      <c r="L59" s="349"/>
      <c r="M59" s="349"/>
      <c r="N59" s="349"/>
      <c r="O59" s="349"/>
      <c r="P59" s="349"/>
      <c r="Q59" s="350"/>
      <c r="R59" s="70"/>
      <c r="S59" s="4"/>
      <c r="T59" s="64"/>
    </row>
  </sheetData>
  <sheetProtection algorithmName="SHA-512" hashValue="cO6tWVESfzHaOH5E4OwypsZ++LiejYyaN80xv/Oy+E4Tj2wAtgVHSopB5spr9TWjL338VLIXxFxtrlM5xErnug==" saltValue="7yh4zjoOFbQBzXzKXXBcng==" spinCount="100000" sheet="1" formatCells="0"/>
  <mergeCells count="44">
    <mergeCell ref="H40:Q42"/>
    <mergeCell ref="C41:G41"/>
    <mergeCell ref="H43:Q45"/>
    <mergeCell ref="C44:G44"/>
    <mergeCell ref="H57:Q59"/>
    <mergeCell ref="C58:G58"/>
    <mergeCell ref="H48:Q50"/>
    <mergeCell ref="C49:G49"/>
    <mergeCell ref="H51:Q53"/>
    <mergeCell ref="C52:G52"/>
    <mergeCell ref="H54:Q56"/>
    <mergeCell ref="C55:G55"/>
    <mergeCell ref="C9:G9"/>
    <mergeCell ref="C12:G12"/>
    <mergeCell ref="H11:Q13"/>
    <mergeCell ref="H39:Q39"/>
    <mergeCell ref="R39:T39"/>
    <mergeCell ref="R7:T7"/>
    <mergeCell ref="H7:Q7"/>
    <mergeCell ref="H26:Q26"/>
    <mergeCell ref="R26:T26"/>
    <mergeCell ref="H8:Q10"/>
    <mergeCell ref="I4:K6"/>
    <mergeCell ref="A1:C1"/>
    <mergeCell ref="D1:F1"/>
    <mergeCell ref="I1:K1"/>
    <mergeCell ref="E3:F3"/>
    <mergeCell ref="I2:K3"/>
    <mergeCell ref="H27:Q29"/>
    <mergeCell ref="H14:Q16"/>
    <mergeCell ref="H17:Q19"/>
    <mergeCell ref="H20:Q22"/>
    <mergeCell ref="H23:Q25"/>
    <mergeCell ref="C28:G28"/>
    <mergeCell ref="C21:G21"/>
    <mergeCell ref="C24:G24"/>
    <mergeCell ref="C15:G15"/>
    <mergeCell ref="C18:G18"/>
    <mergeCell ref="C37:G37"/>
    <mergeCell ref="H36:Q37"/>
    <mergeCell ref="C31:G31"/>
    <mergeCell ref="C34:G34"/>
    <mergeCell ref="H30:Q32"/>
    <mergeCell ref="H33:Q35"/>
  </mergeCells>
  <phoneticPr fontId="10" type="noConversion"/>
  <conditionalFormatting sqref="S37 S34 S28 S31 S24 S21 S18 S15 S9 S12">
    <cfRule type="cellIs" dxfId="14" priority="73" stopIfTrue="1" operator="equal">
      <formula>0</formula>
    </cfRule>
    <cfRule type="cellIs" dxfId="13" priority="74" stopIfTrue="1" operator="equal">
      <formula>2</formula>
    </cfRule>
    <cfRule type="cellIs" dxfId="12" priority="75" stopIfTrue="1" operator="equal">
      <formula>1</formula>
    </cfRule>
  </conditionalFormatting>
  <conditionalFormatting sqref="S52 S49 S41 S44">
    <cfRule type="cellIs" dxfId="11" priority="10" stopIfTrue="1" operator="equal">
      <formula>0</formula>
    </cfRule>
    <cfRule type="cellIs" dxfId="10" priority="11" stopIfTrue="1" operator="equal">
      <formula>2</formula>
    </cfRule>
    <cfRule type="cellIs" dxfId="9" priority="12" stopIfTrue="1" operator="equal">
      <formula>1</formula>
    </cfRule>
  </conditionalFormatting>
  <conditionalFormatting sqref="S55">
    <cfRule type="cellIs" dxfId="8" priority="7" stopIfTrue="1" operator="equal">
      <formula>0</formula>
    </cfRule>
    <cfRule type="cellIs" dxfId="7" priority="8" stopIfTrue="1" operator="equal">
      <formula>2</formula>
    </cfRule>
    <cfRule type="cellIs" dxfId="6" priority="9" stopIfTrue="1" operator="equal">
      <formula>1</formula>
    </cfRule>
  </conditionalFormatting>
  <conditionalFormatting sqref="S58">
    <cfRule type="cellIs" dxfId="5" priority="4" stopIfTrue="1" operator="equal">
      <formula>0</formula>
    </cfRule>
    <cfRule type="cellIs" dxfId="4" priority="5" stopIfTrue="1" operator="equal">
      <formula>2</formula>
    </cfRule>
    <cfRule type="cellIs" dxfId="3" priority="6" stopIfTrue="1" operator="equal">
      <formula>1</formula>
    </cfRule>
  </conditionalFormatting>
  <dataValidations count="1">
    <dataValidation type="list" showInputMessage="1" showErrorMessage="1" errorTitle="Falsche Eingabe" error="Bitte nur angegebene Werte auswählen" sqref="S34 S37 S31 S28 S24 S18 S15 S21 S9 S12 S49 S52 S44 S41 S55 S58" xr:uid="{00000000-0002-0000-0400-000000000000}">
      <formula1>$W$2:$W$6</formula1>
    </dataValidation>
  </dataValidations>
  <pageMargins left="0.39370078740157483" right="0.31496062992125984" top="0.35433070866141736" bottom="0.51181102362204722" header="0.19685039370078741" footer="0.35433070866141736"/>
  <pageSetup paperSize="9" scale="45" orientation="portrait" r:id="rId1"/>
  <headerFooter alignWithMargins="0">
    <oddFooter>&amp;L&amp;8Supplieraudit&amp;C&amp;8&amp;P/&amp;N&amp;R&amp;8R/QM3</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11">
    <tabColor indexed="11"/>
  </sheetPr>
  <dimension ref="A1:Z29"/>
  <sheetViews>
    <sheetView showGridLines="0" zoomScale="85" zoomScaleNormal="85" zoomScaleSheetLayoutView="75" workbookViewId="0">
      <selection activeCell="C3" sqref="C3"/>
    </sheetView>
  </sheetViews>
  <sheetFormatPr defaultColWidth="11.44140625" defaultRowHeight="13.2" x14ac:dyDescent="0.25"/>
  <cols>
    <col min="1" max="1" width="4.109375" customWidth="1"/>
    <col min="2" max="2" width="7.6640625" customWidth="1"/>
    <col min="3" max="3" width="61.33203125" customWidth="1"/>
    <col min="4" max="4" width="8" customWidth="1"/>
    <col min="5" max="5" width="11.5546875" bestFit="1" customWidth="1"/>
    <col min="6" max="6" width="3.44140625" customWidth="1"/>
    <col min="7" max="7" width="9.109375" customWidth="1"/>
    <col min="8" max="8" width="36.88671875" customWidth="1"/>
    <col min="9" max="9" width="8" customWidth="1"/>
    <col min="10" max="10" width="11.5546875" customWidth="1"/>
    <col min="11" max="12" width="3.44140625" customWidth="1"/>
    <col min="13" max="14" width="5.44140625" customWidth="1"/>
    <col min="15" max="15" width="3.6640625" customWidth="1"/>
    <col min="16" max="16" width="4.6640625" customWidth="1"/>
    <col min="17" max="17" width="5" customWidth="1"/>
    <col min="18" max="18" width="2.33203125" customWidth="1"/>
    <col min="19" max="19" width="8" customWidth="1"/>
    <col min="20" max="20" width="6.88671875" customWidth="1"/>
    <col min="21" max="21" width="44" style="28" customWidth="1"/>
    <col min="22" max="22" width="11.44140625" customWidth="1"/>
    <col min="23" max="23" width="11.5546875" bestFit="1" customWidth="1"/>
  </cols>
  <sheetData>
    <row r="1" spans="1:26" ht="30" x14ac:dyDescent="0.5">
      <c r="A1" s="379" t="str">
        <f>VLOOKUP(Vocabularies!B7,Vocabularies!$B$1:$G$358,Vocabularies!$J$2,0)</f>
        <v>Supplier Self-Assessment</v>
      </c>
      <c r="B1" s="380" t="e">
        <f>VLOOKUP("Supplier:",Vocabularies!#REF!,Vocabularies!$J$2,0)</f>
        <v>#REF!</v>
      </c>
      <c r="C1" s="380" t="e">
        <f>VLOOKUP("Supplier:",Vocabularies!#REF!,Vocabularies!$J$2,0)</f>
        <v>#REF!</v>
      </c>
      <c r="D1" s="371"/>
      <c r="E1" s="371"/>
      <c r="F1" s="371"/>
      <c r="G1" s="8"/>
      <c r="H1" s="8"/>
      <c r="I1" s="376" t="str">
        <f>Company_Profile!A4</f>
        <v>Status: Rev 05</v>
      </c>
      <c r="J1" s="377"/>
      <c r="K1" s="378"/>
      <c r="L1" s="76"/>
      <c r="M1" s="76"/>
      <c r="N1" s="76"/>
      <c r="O1" s="76"/>
      <c r="P1" s="76"/>
      <c r="Q1" s="76"/>
      <c r="R1" s="8"/>
      <c r="S1" s="8"/>
      <c r="T1" s="9"/>
      <c r="U1" s="27"/>
      <c r="V1" s="14"/>
      <c r="W1" s="16"/>
      <c r="X1" s="14"/>
      <c r="Y1" s="14"/>
      <c r="Z1" s="14"/>
    </row>
    <row r="2" spans="1:26" ht="5.4" customHeight="1" x14ac:dyDescent="0.5">
      <c r="A2" s="10"/>
      <c r="B2" s="1"/>
      <c r="C2" s="1"/>
      <c r="D2" s="1"/>
      <c r="E2" s="1"/>
      <c r="F2" s="1"/>
      <c r="G2" s="3"/>
      <c r="H2" s="3"/>
      <c r="I2" s="393" t="str">
        <f>VLOOKUP(Vocabularies!B3,Vocabularies!$B$1:$G$358,Vocabularies!$J$2,0)</f>
        <v>Date:</v>
      </c>
      <c r="J2" s="394"/>
      <c r="K2" s="395"/>
      <c r="L2" s="1"/>
      <c r="M2" s="1"/>
      <c r="N2" s="1"/>
      <c r="O2" s="1"/>
      <c r="P2" s="1"/>
      <c r="Q2" s="1"/>
      <c r="R2" s="3"/>
      <c r="S2" s="3"/>
      <c r="T2" s="6"/>
      <c r="U2" s="27"/>
      <c r="V2" s="14"/>
      <c r="W2" s="16" t="s">
        <v>156</v>
      </c>
      <c r="X2" s="14"/>
      <c r="Y2" s="14"/>
      <c r="Z2" s="14"/>
    </row>
    <row r="3" spans="1:26" ht="18" customHeight="1" x14ac:dyDescent="0.25">
      <c r="A3" s="108" t="str">
        <f>VLOOKUP(Vocabularies!B5,Vocabularies!$B$1:$G$358,Vocabularies!$J$2,0)</f>
        <v>Supplier:</v>
      </c>
      <c r="B3" s="107"/>
      <c r="C3" s="107" t="str">
        <f>IF(Company_Profile!B8="","",Company_Profile!B8)</f>
        <v/>
      </c>
      <c r="D3" s="82"/>
      <c r="E3" s="374"/>
      <c r="F3" s="375"/>
      <c r="G3" s="4"/>
      <c r="H3" s="7"/>
      <c r="I3" s="396"/>
      <c r="J3" s="397"/>
      <c r="K3" s="398"/>
      <c r="L3" s="77"/>
      <c r="M3" s="77"/>
      <c r="N3" s="77"/>
      <c r="O3" s="77"/>
      <c r="P3" s="77"/>
      <c r="Q3" s="77"/>
      <c r="R3" s="3"/>
      <c r="S3" s="3"/>
      <c r="T3" s="6"/>
      <c r="U3" s="27"/>
      <c r="V3" s="14"/>
      <c r="W3" s="18">
        <v>0</v>
      </c>
      <c r="X3" s="14"/>
      <c r="Y3" s="14"/>
      <c r="Z3" s="14"/>
    </row>
    <row r="4" spans="1:26" ht="7.2" customHeight="1" x14ac:dyDescent="0.25">
      <c r="A4" s="11"/>
      <c r="B4" s="2"/>
      <c r="C4" s="79"/>
      <c r="D4" s="109"/>
      <c r="E4" s="49"/>
      <c r="F4" s="49"/>
      <c r="G4" s="3"/>
      <c r="H4" s="3"/>
      <c r="I4" s="384">
        <f>Company_Profile!W4</f>
        <v>0</v>
      </c>
      <c r="J4" s="385"/>
      <c r="K4" s="386"/>
      <c r="L4" s="49"/>
      <c r="M4" s="49"/>
      <c r="N4" s="49"/>
      <c r="O4" s="49"/>
      <c r="P4" s="49"/>
      <c r="Q4" s="49"/>
      <c r="R4" s="3"/>
      <c r="S4" s="3"/>
      <c r="T4" s="6"/>
      <c r="U4" s="27"/>
      <c r="V4" s="14"/>
      <c r="W4" s="18">
        <v>1</v>
      </c>
      <c r="X4" s="14"/>
      <c r="Y4" s="14"/>
      <c r="Z4" s="14"/>
    </row>
    <row r="5" spans="1:26" ht="17.399999999999999" x14ac:dyDescent="0.25">
      <c r="A5" s="106" t="str">
        <f>VLOOKUP(Vocabularies!B232,Vocabularies!$B$1:$G$358,Vocabularies!$J$2,0)</f>
        <v>Section F Global Compact Principle</v>
      </c>
      <c r="B5" s="2"/>
      <c r="C5" s="80"/>
      <c r="D5" s="110"/>
      <c r="E5" s="78"/>
      <c r="F5" s="78"/>
      <c r="G5" s="3"/>
      <c r="H5" s="3"/>
      <c r="I5" s="387"/>
      <c r="J5" s="388"/>
      <c r="K5" s="389"/>
      <c r="L5" s="78"/>
      <c r="M5" s="78"/>
      <c r="N5" s="78"/>
      <c r="O5" s="78"/>
      <c r="P5" s="78"/>
      <c r="Q5" s="78"/>
      <c r="R5" s="3"/>
      <c r="S5" s="3"/>
      <c r="T5" s="6"/>
      <c r="U5" s="27"/>
      <c r="V5" s="14"/>
      <c r="W5" s="18">
        <v>2</v>
      </c>
      <c r="X5" s="14"/>
      <c r="Y5" s="14"/>
      <c r="Z5" s="14"/>
    </row>
    <row r="6" spans="1:26" ht="6.6" customHeight="1" x14ac:dyDescent="0.25">
      <c r="A6" s="12"/>
      <c r="B6" s="5"/>
      <c r="C6" s="81"/>
      <c r="D6" s="82"/>
      <c r="E6" s="50"/>
      <c r="F6" s="50"/>
      <c r="G6" s="4"/>
      <c r="H6" s="4"/>
      <c r="I6" s="390"/>
      <c r="J6" s="391"/>
      <c r="K6" s="392"/>
      <c r="L6" s="50"/>
      <c r="M6" s="50"/>
      <c r="N6" s="50"/>
      <c r="O6" s="50"/>
      <c r="P6" s="50"/>
      <c r="Q6" s="50"/>
      <c r="R6" s="4"/>
      <c r="S6" s="4"/>
      <c r="T6" s="7"/>
      <c r="U6" s="27"/>
      <c r="V6" s="14"/>
      <c r="W6" s="18" t="s">
        <v>155</v>
      </c>
      <c r="X6" s="14"/>
      <c r="Y6" s="14"/>
      <c r="Z6" s="14"/>
    </row>
    <row r="7" spans="1:26" ht="18" customHeight="1" x14ac:dyDescent="0.25">
      <c r="A7" s="150" t="str">
        <f>VLOOKUP(Vocabularies!B233,Vocabularies!$B$1:$G$358,Vocabularies!$J$2,0)</f>
        <v>RESPONSIBLE BEHAVIOUR OF THE COMPANY</v>
      </c>
      <c r="B7" s="111"/>
      <c r="C7" s="112"/>
      <c r="D7" s="113"/>
      <c r="E7" s="114"/>
      <c r="F7" s="114"/>
      <c r="G7" s="115"/>
      <c r="H7" s="115"/>
      <c r="I7" s="116"/>
      <c r="J7" s="116"/>
      <c r="K7" s="116"/>
      <c r="L7" s="114"/>
      <c r="M7" s="114"/>
      <c r="N7" s="114"/>
      <c r="O7" s="114"/>
      <c r="P7" s="114"/>
      <c r="Q7" s="114"/>
      <c r="R7" s="115"/>
      <c r="S7" s="115"/>
      <c r="T7" s="117"/>
      <c r="U7" s="27"/>
      <c r="V7" s="14"/>
      <c r="W7" s="18"/>
      <c r="X7" s="14"/>
      <c r="Y7" s="14"/>
      <c r="Z7" s="14"/>
    </row>
    <row r="8" spans="1:26" ht="17.399999999999999" x14ac:dyDescent="0.3">
      <c r="A8" s="118" t="s">
        <v>149</v>
      </c>
      <c r="B8" s="56" t="str">
        <f>VLOOKUP(Vocabularies!B234,Vocabularies!$B$1:$G$358,Vocabularies!$J$2,0)</f>
        <v>Information about Global Compact Principle</v>
      </c>
      <c r="C8" s="139"/>
      <c r="D8" s="139"/>
      <c r="E8" s="139"/>
      <c r="F8" s="139"/>
      <c r="G8" s="140"/>
      <c r="H8" s="351" t="str">
        <f>VLOOKUP(Vocabularies!B111,Vocabularies!$B$1:$G$358,Vocabularies!$J$2,0)</f>
        <v>Comments (in case of answers „&lt;2 or N/A“)</v>
      </c>
      <c r="I8" s="352"/>
      <c r="J8" s="352"/>
      <c r="K8" s="352"/>
      <c r="L8" s="352"/>
      <c r="M8" s="352"/>
      <c r="N8" s="352"/>
      <c r="O8" s="352"/>
      <c r="P8" s="352"/>
      <c r="Q8" s="353"/>
      <c r="R8" s="381" t="str">
        <f>VLOOKUP(Vocabularies!B4,Vocabularies!$B$1:$G$358,Vocabularies!$J$2,0)</f>
        <v>Assessment</v>
      </c>
      <c r="S8" s="382"/>
      <c r="T8" s="383"/>
      <c r="U8" s="27"/>
      <c r="V8" s="14"/>
      <c r="W8" s="16"/>
      <c r="X8" s="14"/>
      <c r="Y8" s="14"/>
      <c r="Z8" s="14"/>
    </row>
    <row r="9" spans="1:26" ht="4.95" customHeight="1" x14ac:dyDescent="0.3">
      <c r="A9" s="121"/>
      <c r="B9" s="122"/>
      <c r="C9" s="123"/>
      <c r="D9" s="124"/>
      <c r="E9" s="124"/>
      <c r="F9" s="124"/>
      <c r="G9" s="125"/>
      <c r="H9" s="342"/>
      <c r="I9" s="343"/>
      <c r="J9" s="343"/>
      <c r="K9" s="343"/>
      <c r="L9" s="343"/>
      <c r="M9" s="343"/>
      <c r="N9" s="343"/>
      <c r="O9" s="343"/>
      <c r="P9" s="343"/>
      <c r="Q9" s="344"/>
      <c r="R9" s="3"/>
      <c r="S9" s="3"/>
      <c r="T9" s="6"/>
      <c r="U9" s="27"/>
      <c r="V9" s="14"/>
      <c r="W9" s="14"/>
      <c r="X9" s="14"/>
      <c r="Y9" s="14"/>
      <c r="Z9" s="14"/>
    </row>
    <row r="10" spans="1:26" ht="50.1" customHeight="1" x14ac:dyDescent="0.25">
      <c r="A10" s="121"/>
      <c r="B10" s="126" t="str">
        <f>"1.1"</f>
        <v>1.1</v>
      </c>
      <c r="C10" s="354" t="str">
        <f>VLOOKUP(Vocabularies!B235,Vocabularies!$B$1:$G$358,Vocabularies!$J$2,0)</f>
        <v>Do you confirm complying with the UN Global Compact’s ten principles on human rights, labour, environment and anti-corruption?</v>
      </c>
      <c r="D10" s="354"/>
      <c r="E10" s="354"/>
      <c r="F10" s="354"/>
      <c r="G10" s="355"/>
      <c r="H10" s="345"/>
      <c r="I10" s="346"/>
      <c r="J10" s="346"/>
      <c r="K10" s="346"/>
      <c r="L10" s="346"/>
      <c r="M10" s="346"/>
      <c r="N10" s="346"/>
      <c r="O10" s="346"/>
      <c r="P10" s="346"/>
      <c r="Q10" s="347"/>
      <c r="R10" s="74"/>
      <c r="S10" s="69" t="s">
        <v>156</v>
      </c>
      <c r="T10" s="72" t="str">
        <f>IF(S10=" ","",IF(S10="N/A","",IF(S10=2,"Green Grün",IF(S10=1,"Yellow Gelb",IF(S10=0,"Red Rot")))))</f>
        <v/>
      </c>
      <c r="U10" s="27"/>
      <c r="V10" s="14"/>
      <c r="W10" s="14"/>
      <c r="X10" s="14"/>
      <c r="Y10" s="14"/>
      <c r="Z10" s="14"/>
    </row>
    <row r="11" spans="1:26" ht="4.95" customHeight="1" x14ac:dyDescent="0.25">
      <c r="A11" s="127"/>
      <c r="B11" s="128"/>
      <c r="C11" s="129"/>
      <c r="D11" s="130"/>
      <c r="E11" s="130"/>
      <c r="F11" s="130"/>
      <c r="G11" s="131"/>
      <c r="H11" s="348"/>
      <c r="I11" s="349"/>
      <c r="J11" s="349"/>
      <c r="K11" s="349"/>
      <c r="L11" s="349"/>
      <c r="M11" s="349"/>
      <c r="N11" s="349"/>
      <c r="O11" s="349"/>
      <c r="P11" s="349"/>
      <c r="Q11" s="350"/>
      <c r="R11" s="4"/>
      <c r="S11" s="4"/>
      <c r="T11" s="7"/>
      <c r="U11" s="27"/>
      <c r="V11" s="14"/>
      <c r="W11" s="14"/>
      <c r="X11" s="14"/>
      <c r="Y11" s="14"/>
      <c r="Z11" s="14"/>
    </row>
    <row r="12" spans="1:26" ht="4.95" customHeight="1" x14ac:dyDescent="0.25">
      <c r="A12" s="121"/>
      <c r="B12" s="122"/>
      <c r="C12" s="55"/>
      <c r="D12" s="124"/>
      <c r="E12" s="124"/>
      <c r="F12" s="124"/>
      <c r="G12" s="125"/>
      <c r="H12" s="342"/>
      <c r="I12" s="343"/>
      <c r="J12" s="343"/>
      <c r="K12" s="343"/>
      <c r="L12" s="343"/>
      <c r="M12" s="343"/>
      <c r="N12" s="343"/>
      <c r="O12" s="343"/>
      <c r="P12" s="343"/>
      <c r="Q12" s="344"/>
      <c r="R12" s="3"/>
      <c r="S12" s="3"/>
      <c r="T12" s="6"/>
      <c r="U12" s="27"/>
      <c r="V12" s="14"/>
      <c r="W12" s="14"/>
      <c r="X12" s="14"/>
      <c r="Y12" s="14"/>
      <c r="Z12" s="14"/>
    </row>
    <row r="13" spans="1:26" ht="50.1" customHeight="1" x14ac:dyDescent="0.25">
      <c r="A13" s="121"/>
      <c r="B13" s="126" t="str">
        <f>"1.2"</f>
        <v>1.2</v>
      </c>
      <c r="C13" s="354" t="str">
        <f>VLOOKUP(Vocabularies!B236,Vocabularies!$B$1:$G$358,Vocabularies!$J$2,0)</f>
        <v>Is there a process to ensure adequate steps are taken against all forms of discrimination both in the workplace and at the time of recruitment?</v>
      </c>
      <c r="D13" s="354"/>
      <c r="E13" s="354"/>
      <c r="F13" s="354"/>
      <c r="G13" s="355"/>
      <c r="H13" s="345"/>
      <c r="I13" s="346"/>
      <c r="J13" s="346"/>
      <c r="K13" s="346"/>
      <c r="L13" s="346"/>
      <c r="M13" s="346"/>
      <c r="N13" s="346"/>
      <c r="O13" s="346"/>
      <c r="P13" s="346"/>
      <c r="Q13" s="347"/>
      <c r="R13" s="74"/>
      <c r="S13" s="69" t="s">
        <v>156</v>
      </c>
      <c r="T13" s="62" t="str">
        <f>IF(S13=" ","",IF(S13="N/A","",IF(S13=2,"Green Grün",IF(S13=1,"Yellow Gelb",IF(S13=0,"Red Rot")))))</f>
        <v/>
      </c>
      <c r="U13" s="27"/>
      <c r="V13" s="14"/>
      <c r="W13" s="14"/>
      <c r="X13" s="14"/>
      <c r="Y13" s="14"/>
      <c r="Z13" s="14"/>
    </row>
    <row r="14" spans="1:26" ht="4.95" customHeight="1" x14ac:dyDescent="0.25">
      <c r="A14" s="127"/>
      <c r="B14" s="132"/>
      <c r="C14" s="63"/>
      <c r="D14" s="130"/>
      <c r="E14" s="130"/>
      <c r="F14" s="130"/>
      <c r="G14" s="131"/>
      <c r="H14" s="348"/>
      <c r="I14" s="349"/>
      <c r="J14" s="349"/>
      <c r="K14" s="349"/>
      <c r="L14" s="349"/>
      <c r="M14" s="349"/>
      <c r="N14" s="349"/>
      <c r="O14" s="349"/>
      <c r="P14" s="349"/>
      <c r="Q14" s="350"/>
      <c r="R14" s="4"/>
      <c r="S14" s="4"/>
      <c r="T14" s="7"/>
      <c r="U14" s="27"/>
      <c r="V14" s="14"/>
      <c r="W14" s="14"/>
      <c r="X14" s="14"/>
      <c r="Y14" s="14"/>
      <c r="Z14" s="14"/>
    </row>
    <row r="15" spans="1:26" ht="4.95" customHeight="1" x14ac:dyDescent="0.25">
      <c r="A15" s="121"/>
      <c r="B15" s="122"/>
      <c r="C15" s="55"/>
      <c r="D15" s="124"/>
      <c r="E15" s="124"/>
      <c r="F15" s="124"/>
      <c r="G15" s="125"/>
      <c r="H15" s="342"/>
      <c r="I15" s="343"/>
      <c r="J15" s="343"/>
      <c r="K15" s="343"/>
      <c r="L15" s="343"/>
      <c r="M15" s="343"/>
      <c r="N15" s="343"/>
      <c r="O15" s="343"/>
      <c r="P15" s="343"/>
      <c r="Q15" s="344"/>
      <c r="R15" s="3"/>
      <c r="S15" s="3"/>
      <c r="T15" s="6"/>
      <c r="U15" s="27"/>
      <c r="V15" s="14"/>
      <c r="W15" s="14"/>
      <c r="X15" s="14"/>
      <c r="Y15" s="14"/>
      <c r="Z15" s="14"/>
    </row>
    <row r="16" spans="1:26" ht="50.1" customHeight="1" x14ac:dyDescent="0.25">
      <c r="A16" s="121"/>
      <c r="B16" s="126" t="str">
        <f>"1.3"</f>
        <v>1.3</v>
      </c>
      <c r="C16" s="354" t="str">
        <f>VLOOKUP(Vocabularies!B237,Vocabularies!$B$1:$G$358,Vocabularies!$J$2,0)</f>
        <v>Is there a process to ensure adequate steps are taken against all forms of forced and compulsory labour as well as child labour?</v>
      </c>
      <c r="D16" s="354"/>
      <c r="E16" s="354"/>
      <c r="F16" s="354"/>
      <c r="G16" s="355"/>
      <c r="H16" s="345"/>
      <c r="I16" s="346"/>
      <c r="J16" s="346"/>
      <c r="K16" s="346"/>
      <c r="L16" s="346"/>
      <c r="M16" s="346"/>
      <c r="N16" s="346"/>
      <c r="O16" s="346"/>
      <c r="P16" s="346"/>
      <c r="Q16" s="347"/>
      <c r="R16" s="75"/>
      <c r="S16" s="69" t="s">
        <v>156</v>
      </c>
      <c r="T16" s="62" t="str">
        <f>IF(S16=" ","",IF(S16="N/A","",IF(S16=2,"Green Grün",IF(S16=1,"Yellow Gelb",IF(S16=0,"Red Rot")))))</f>
        <v/>
      </c>
      <c r="U16" s="27"/>
      <c r="V16" s="14"/>
      <c r="W16" s="14"/>
      <c r="X16" s="14"/>
      <c r="Y16" s="14"/>
      <c r="Z16" s="14"/>
    </row>
    <row r="17" spans="1:26" ht="4.95" customHeight="1" x14ac:dyDescent="0.25">
      <c r="A17" s="127"/>
      <c r="B17" s="132"/>
      <c r="C17" s="63"/>
      <c r="D17" s="130"/>
      <c r="E17" s="130"/>
      <c r="F17" s="130"/>
      <c r="G17" s="131"/>
      <c r="H17" s="348"/>
      <c r="I17" s="349"/>
      <c r="J17" s="349"/>
      <c r="K17" s="349"/>
      <c r="L17" s="349"/>
      <c r="M17" s="349"/>
      <c r="N17" s="349"/>
      <c r="O17" s="349"/>
      <c r="P17" s="349"/>
      <c r="Q17" s="350"/>
      <c r="R17" s="4"/>
      <c r="S17" s="4"/>
      <c r="T17" s="7"/>
    </row>
    <row r="18" spans="1:26" ht="4.95" customHeight="1" x14ac:dyDescent="0.25">
      <c r="A18" s="121"/>
      <c r="B18" s="122"/>
      <c r="C18" s="55"/>
      <c r="D18" s="124"/>
      <c r="E18" s="124"/>
      <c r="F18" s="124"/>
      <c r="G18" s="125"/>
      <c r="H18" s="342"/>
      <c r="I18" s="343"/>
      <c r="J18" s="343"/>
      <c r="K18" s="343"/>
      <c r="L18" s="343"/>
      <c r="M18" s="343"/>
      <c r="N18" s="343"/>
      <c r="O18" s="343"/>
      <c r="P18" s="343"/>
      <c r="Q18" s="344"/>
      <c r="R18" s="3"/>
      <c r="S18" s="3"/>
      <c r="T18" s="6"/>
    </row>
    <row r="19" spans="1:26" ht="50.1" customHeight="1" x14ac:dyDescent="0.25">
      <c r="A19" s="121"/>
      <c r="B19" s="126" t="str">
        <f>"1.4"</f>
        <v>1.4</v>
      </c>
      <c r="C19" s="354" t="str">
        <f>VLOOKUP(Vocabularies!B238,Vocabularies!$B$1:$G$358,Vocabularies!$J$2,0)</f>
        <v>Does your company have arrangements for health and safety that provide sufficient protection for your employees?</v>
      </c>
      <c r="D19" s="354"/>
      <c r="E19" s="354"/>
      <c r="F19" s="354"/>
      <c r="G19" s="355"/>
      <c r="H19" s="345"/>
      <c r="I19" s="346"/>
      <c r="J19" s="346"/>
      <c r="K19" s="346"/>
      <c r="L19" s="346"/>
      <c r="M19" s="346"/>
      <c r="N19" s="346"/>
      <c r="O19" s="346"/>
      <c r="P19" s="346"/>
      <c r="Q19" s="347"/>
      <c r="R19" s="74"/>
      <c r="S19" s="69" t="s">
        <v>156</v>
      </c>
      <c r="T19" s="72" t="str">
        <f>IF(S19=" ","",IF(S19="N/A","",IF(S19=2,"Green Grün",IF(S19=1,"Yellow Gelb",IF(S19=0,"Red Rot")))))</f>
        <v/>
      </c>
    </row>
    <row r="20" spans="1:26" ht="4.95" customHeight="1" x14ac:dyDescent="0.25">
      <c r="A20" s="127"/>
      <c r="B20" s="132"/>
      <c r="C20" s="63"/>
      <c r="D20" s="130"/>
      <c r="E20" s="130"/>
      <c r="F20" s="130"/>
      <c r="G20" s="131"/>
      <c r="H20" s="348"/>
      <c r="I20" s="349"/>
      <c r="J20" s="349"/>
      <c r="K20" s="349"/>
      <c r="L20" s="349"/>
      <c r="M20" s="349"/>
      <c r="N20" s="349"/>
      <c r="O20" s="349"/>
      <c r="P20" s="349"/>
      <c r="Q20" s="350"/>
      <c r="R20" s="4"/>
      <c r="S20" s="4"/>
      <c r="T20" s="7"/>
    </row>
    <row r="21" spans="1:26" ht="4.5" customHeight="1" x14ac:dyDescent="0.25">
      <c r="A21" s="133"/>
      <c r="B21" s="134"/>
      <c r="C21" s="135"/>
      <c r="D21" s="101"/>
      <c r="E21" s="101"/>
      <c r="F21" s="101"/>
      <c r="G21" s="136"/>
      <c r="H21" s="342"/>
      <c r="I21" s="343"/>
      <c r="J21" s="343"/>
      <c r="K21" s="343"/>
      <c r="L21" s="343"/>
      <c r="M21" s="343"/>
      <c r="N21" s="343"/>
      <c r="O21" s="343"/>
      <c r="P21" s="343"/>
      <c r="Q21" s="344"/>
      <c r="R21" s="8"/>
      <c r="S21" s="8"/>
      <c r="T21" s="9"/>
    </row>
    <row r="22" spans="1:26" ht="50.1" customHeight="1" x14ac:dyDescent="0.25">
      <c r="A22" s="121"/>
      <c r="B22" s="126" t="str">
        <f>"1.5"</f>
        <v>1.5</v>
      </c>
      <c r="C22" s="354" t="str">
        <f>VLOOKUP(Vocabularies!B239,Vocabularies!$B$1:$G$358,Vocabularies!$J$2,0)</f>
        <v>Does your company support the development and diffusion of environmental friendly products and technologies?</v>
      </c>
      <c r="D22" s="354"/>
      <c r="E22" s="354"/>
      <c r="F22" s="354"/>
      <c r="G22" s="355"/>
      <c r="H22" s="345"/>
      <c r="I22" s="346"/>
      <c r="J22" s="346"/>
      <c r="K22" s="346"/>
      <c r="L22" s="346"/>
      <c r="M22" s="346"/>
      <c r="N22" s="346"/>
      <c r="O22" s="346"/>
      <c r="P22" s="346"/>
      <c r="Q22" s="347"/>
      <c r="R22" s="74"/>
      <c r="S22" s="69" t="s">
        <v>156</v>
      </c>
      <c r="T22" s="72" t="str">
        <f>IF(S22=" ","",IF(S22="N/A","",IF(S22=2,"Green Grün",IF(S22=1,"Yellow Gelb",IF(S22=0,"Red Rot")))))</f>
        <v/>
      </c>
    </row>
    <row r="23" spans="1:26" ht="4.95" customHeight="1" x14ac:dyDescent="0.25">
      <c r="A23" s="127"/>
      <c r="B23" s="132"/>
      <c r="C23" s="63"/>
      <c r="D23" s="130"/>
      <c r="E23" s="130"/>
      <c r="F23" s="130"/>
      <c r="G23" s="131"/>
      <c r="H23" s="348"/>
      <c r="I23" s="349"/>
      <c r="J23" s="349"/>
      <c r="K23" s="349"/>
      <c r="L23" s="349"/>
      <c r="M23" s="349"/>
      <c r="N23" s="349"/>
      <c r="O23" s="349"/>
      <c r="P23" s="349"/>
      <c r="Q23" s="350"/>
      <c r="R23" s="4"/>
      <c r="S23" s="4"/>
      <c r="T23" s="7"/>
    </row>
    <row r="24" spans="1:26" ht="4.95" customHeight="1" x14ac:dyDescent="0.25">
      <c r="A24" s="121"/>
      <c r="B24" s="122"/>
      <c r="C24" s="55"/>
      <c r="D24" s="124"/>
      <c r="E24" s="124"/>
      <c r="F24" s="124"/>
      <c r="G24" s="125"/>
      <c r="H24" s="342"/>
      <c r="I24" s="343"/>
      <c r="J24" s="343"/>
      <c r="K24" s="343"/>
      <c r="L24" s="343"/>
      <c r="M24" s="343"/>
      <c r="N24" s="343"/>
      <c r="O24" s="343"/>
      <c r="P24" s="343"/>
      <c r="Q24" s="344"/>
      <c r="R24" s="3"/>
      <c r="S24" s="3"/>
      <c r="T24" s="6"/>
    </row>
    <row r="25" spans="1:26" ht="61.5" customHeight="1" x14ac:dyDescent="0.25">
      <c r="A25" s="121"/>
      <c r="B25" s="126" t="str">
        <f>"1.6"</f>
        <v>1.6</v>
      </c>
      <c r="C25" s="354" t="str">
        <f>VLOOKUP(Vocabularies!B240,Vocabularies!$B$1:$G$358,Vocabularies!$J$2,0)</f>
        <v>Does your company have specific mechanism in place to ensure effective implementation of fair business practice and ethical behaviour (e.g. compliance, anti-corruption, conflicts of interests)</v>
      </c>
      <c r="D25" s="354"/>
      <c r="E25" s="354"/>
      <c r="F25" s="354"/>
      <c r="G25" s="355"/>
      <c r="H25" s="345"/>
      <c r="I25" s="346"/>
      <c r="J25" s="346"/>
      <c r="K25" s="346"/>
      <c r="L25" s="346"/>
      <c r="M25" s="346"/>
      <c r="N25" s="346"/>
      <c r="O25" s="346"/>
      <c r="P25" s="346"/>
      <c r="Q25" s="347"/>
      <c r="R25" s="74"/>
      <c r="S25" s="69" t="s">
        <v>156</v>
      </c>
      <c r="T25" s="72" t="str">
        <f>IF(S25=" ","",IF(S25="N/A","",IF(S25=2,"Green Grün",IF(S25=1,"Yellow Gelb",IF(S25=0,"Red Rot")))))</f>
        <v/>
      </c>
    </row>
    <row r="26" spans="1:26" s="65" customFormat="1" ht="4.5" customHeight="1" x14ac:dyDescent="0.25">
      <c r="A26" s="137"/>
      <c r="B26" s="138"/>
      <c r="C26" s="66"/>
      <c r="D26" s="66"/>
      <c r="E26" s="66"/>
      <c r="F26" s="66"/>
      <c r="G26" s="83"/>
      <c r="H26" s="348"/>
      <c r="I26" s="349"/>
      <c r="J26" s="349"/>
      <c r="K26" s="349"/>
      <c r="L26" s="349"/>
      <c r="M26" s="349"/>
      <c r="N26" s="349"/>
      <c r="O26" s="349"/>
      <c r="P26" s="349"/>
      <c r="Q26" s="350"/>
      <c r="R26" s="66"/>
      <c r="S26" s="67"/>
      <c r="T26" s="68"/>
      <c r="U26" s="28"/>
    </row>
    <row r="27" spans="1:26" s="28" customFormat="1" ht="5.25" customHeight="1" x14ac:dyDescent="0.25">
      <c r="A27" s="121"/>
      <c r="B27" s="122"/>
      <c r="C27" s="55"/>
      <c r="D27" s="124"/>
      <c r="E27" s="124"/>
      <c r="F27" s="124"/>
      <c r="G27" s="125"/>
      <c r="H27" s="342"/>
      <c r="I27" s="343"/>
      <c r="J27" s="343"/>
      <c r="K27" s="343"/>
      <c r="L27" s="343"/>
      <c r="M27" s="343"/>
      <c r="N27" s="343"/>
      <c r="O27" s="343"/>
      <c r="P27" s="343"/>
      <c r="Q27" s="344"/>
      <c r="R27" s="3"/>
      <c r="S27"/>
      <c r="T27" s="62"/>
      <c r="V27"/>
      <c r="W27"/>
      <c r="X27"/>
      <c r="Y27"/>
      <c r="Z27"/>
    </row>
    <row r="28" spans="1:26" s="28" customFormat="1" ht="50.1" customHeight="1" x14ac:dyDescent="0.25">
      <c r="A28" s="121"/>
      <c r="B28" s="126" t="str">
        <f>"1.7"</f>
        <v>1.7</v>
      </c>
      <c r="C28" s="354" t="str">
        <f>VLOOKUP(Vocabularies!B241,Vocabularies!$B$1:$G$358,Vocabularies!$J$2,0)</f>
        <v xml:space="preserve">Have you developed sustainability purchasing guidelines for your suppliers, including, but not limited to, environmental compliance, ethical practices and labour conditions? </v>
      </c>
      <c r="D28" s="354"/>
      <c r="E28" s="354"/>
      <c r="F28" s="354"/>
      <c r="G28" s="355"/>
      <c r="H28" s="345"/>
      <c r="I28" s="346"/>
      <c r="J28" s="346"/>
      <c r="K28" s="346"/>
      <c r="L28" s="346"/>
      <c r="M28" s="346"/>
      <c r="N28" s="346"/>
      <c r="O28" s="346"/>
      <c r="P28" s="346"/>
      <c r="Q28" s="347"/>
      <c r="R28" s="74"/>
      <c r="S28" s="69" t="s">
        <v>156</v>
      </c>
      <c r="T28" s="62" t="str">
        <f>IF(S28=" ","",IF(S28="N/A","",IF(S28=2,"Green Grün",IF(S28=1,"Yellow Gelb",IF(S28=0,"Red Rot")))))</f>
        <v/>
      </c>
      <c r="V28"/>
      <c r="W28"/>
      <c r="X28"/>
      <c r="Y28"/>
      <c r="Z28"/>
    </row>
    <row r="29" spans="1:26" s="28" customFormat="1" ht="5.25" customHeight="1" x14ac:dyDescent="0.25">
      <c r="A29" s="127"/>
      <c r="B29" s="132"/>
      <c r="C29" s="84"/>
      <c r="D29" s="84"/>
      <c r="E29" s="84"/>
      <c r="F29" s="84"/>
      <c r="G29" s="85"/>
      <c r="H29" s="348"/>
      <c r="I29" s="349"/>
      <c r="J29" s="349"/>
      <c r="K29" s="349"/>
      <c r="L29" s="349"/>
      <c r="M29" s="349"/>
      <c r="N29" s="349"/>
      <c r="O29" s="349"/>
      <c r="P29" s="349"/>
      <c r="Q29" s="350"/>
      <c r="R29" s="84"/>
      <c r="S29" s="4"/>
      <c r="T29" s="86"/>
      <c r="V29"/>
      <c r="W29"/>
      <c r="X29"/>
      <c r="Y29"/>
      <c r="Z29"/>
    </row>
  </sheetData>
  <sheetProtection algorithmName="SHA-512" hashValue="NjkKJhypzMnqCqIdtnvfaOqRBjQI1197EkPhguF/naRaSHYKeR56kkhUkCYgwrqh0nsgq5vLtIodrxEPVECUDA==" saltValue="2QWDv1Lzuixnij9E5SFO1A==" spinCount="100000" sheet="1" formatCells="0"/>
  <mergeCells count="22">
    <mergeCell ref="R8:T8"/>
    <mergeCell ref="H8:Q8"/>
    <mergeCell ref="A1:C1"/>
    <mergeCell ref="D1:F1"/>
    <mergeCell ref="I1:K1"/>
    <mergeCell ref="I2:K3"/>
    <mergeCell ref="E3:F3"/>
    <mergeCell ref="I4:K6"/>
    <mergeCell ref="H9:Q11"/>
    <mergeCell ref="C10:G10"/>
    <mergeCell ref="H12:Q14"/>
    <mergeCell ref="C13:G13"/>
    <mergeCell ref="H15:Q17"/>
    <mergeCell ref="C16:G16"/>
    <mergeCell ref="H27:Q29"/>
    <mergeCell ref="C28:G28"/>
    <mergeCell ref="H18:Q20"/>
    <mergeCell ref="C19:G19"/>
    <mergeCell ref="H21:Q23"/>
    <mergeCell ref="C22:G22"/>
    <mergeCell ref="H24:Q26"/>
    <mergeCell ref="C25:G25"/>
  </mergeCells>
  <phoneticPr fontId="10" type="noConversion"/>
  <conditionalFormatting sqref="S28 S25 S22 S19 S16 S10 S13">
    <cfRule type="cellIs" dxfId="2" priority="4" stopIfTrue="1" operator="equal">
      <formula>0</formula>
    </cfRule>
    <cfRule type="cellIs" dxfId="1" priority="5" stopIfTrue="1" operator="equal">
      <formula>2</formula>
    </cfRule>
    <cfRule type="cellIs" dxfId="0" priority="6" stopIfTrue="1" operator="equal">
      <formula>1</formula>
    </cfRule>
  </conditionalFormatting>
  <dataValidations count="1">
    <dataValidation type="list" showInputMessage="1" showErrorMessage="1" errorTitle="Falsche Eingabe" error="Bitte nur angegebene Werte auswählen" sqref="S28 S25 S19 S16 S22 S10 S13" xr:uid="{00000000-0002-0000-0500-000000000000}">
      <formula1>$W$2:$W$6</formula1>
    </dataValidation>
  </dataValidations>
  <pageMargins left="0.39370078740157483" right="0.31496062992125984" top="0.35433070866141736" bottom="0.51181102362204722" header="0.19685039370078741" footer="0.35433070866141736"/>
  <pageSetup paperSize="9" scale="45" orientation="portrait" r:id="rId1"/>
  <headerFooter alignWithMargins="0">
    <oddFooter>&amp;L&amp;8Supplieraudit&amp;C&amp;8&amp;P/&amp;N&amp;R&amp;8R/QM3</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5"/>
  <dimension ref="A1:O328"/>
  <sheetViews>
    <sheetView topLeftCell="A115" workbookViewId="0">
      <pane xSplit="1" topLeftCell="B1" activePane="topRight" state="frozen"/>
      <selection activeCell="A41" sqref="A41"/>
      <selection pane="topRight" activeCell="C126" sqref="C126"/>
    </sheetView>
  </sheetViews>
  <sheetFormatPr defaultColWidth="102.88671875" defaultRowHeight="15.6" x14ac:dyDescent="0.3"/>
  <cols>
    <col min="1" max="1" width="12" style="59" customWidth="1"/>
    <col min="2" max="2" width="66.33203125" style="3" customWidth="1"/>
    <col min="3" max="3" width="63.6640625" style="3" customWidth="1"/>
    <col min="4" max="4" width="49.44140625" style="3" customWidth="1"/>
    <col min="5" max="5" width="58.44140625" style="3" bestFit="1" customWidth="1"/>
    <col min="6" max="6" width="50.44140625" style="3" bestFit="1" customWidth="1"/>
    <col min="7" max="7" width="64.6640625" style="3" bestFit="1" customWidth="1"/>
    <col min="8" max="8" width="22.6640625" style="3" customWidth="1"/>
    <col min="9" max="9" width="7.88671875" style="3" bestFit="1" customWidth="1"/>
    <col min="10" max="10" width="12" style="3" customWidth="1"/>
    <col min="11" max="11" width="11.88671875" style="3" customWidth="1"/>
    <col min="12" max="16384" width="102.88671875" style="3"/>
  </cols>
  <sheetData>
    <row r="1" spans="1:10" ht="16.2" thickBot="1" x14ac:dyDescent="0.35">
      <c r="A1" s="59" t="s">
        <v>126</v>
      </c>
      <c r="B1" s="30" t="s">
        <v>119</v>
      </c>
      <c r="C1" s="30" t="s">
        <v>120</v>
      </c>
      <c r="D1" s="30" t="s">
        <v>636</v>
      </c>
      <c r="E1" s="31" t="s">
        <v>867</v>
      </c>
      <c r="F1" s="30" t="s">
        <v>121</v>
      </c>
      <c r="G1" s="30" t="s">
        <v>122</v>
      </c>
      <c r="H1" s="30"/>
    </row>
    <row r="2" spans="1:10" x14ac:dyDescent="0.3">
      <c r="A2" s="59" t="s">
        <v>127</v>
      </c>
      <c r="I2" s="32" t="s">
        <v>123</v>
      </c>
      <c r="J2" s="33">
        <v>1</v>
      </c>
    </row>
    <row r="3" spans="1:10" x14ac:dyDescent="0.3">
      <c r="A3" s="59">
        <v>2</v>
      </c>
      <c r="B3" s="3" t="s">
        <v>98</v>
      </c>
      <c r="C3" s="3" t="s">
        <v>158</v>
      </c>
      <c r="D3" s="3" t="s">
        <v>637</v>
      </c>
      <c r="E3" s="3" t="s">
        <v>868</v>
      </c>
      <c r="I3" s="34">
        <v>1</v>
      </c>
      <c r="J3" s="44" t="s">
        <v>119</v>
      </c>
    </row>
    <row r="4" spans="1:10" x14ac:dyDescent="0.3">
      <c r="B4" s="3" t="s">
        <v>3</v>
      </c>
      <c r="C4" s="3" t="s">
        <v>4</v>
      </c>
      <c r="D4" s="3" t="s">
        <v>638</v>
      </c>
      <c r="E4" s="3" t="s">
        <v>869</v>
      </c>
      <c r="I4" s="34"/>
      <c r="J4" s="44"/>
    </row>
    <row r="5" spans="1:10" x14ac:dyDescent="0.3">
      <c r="B5" s="3" t="s">
        <v>99</v>
      </c>
      <c r="C5" s="3" t="s">
        <v>124</v>
      </c>
      <c r="D5" s="17" t="s">
        <v>639</v>
      </c>
      <c r="E5" s="17" t="s">
        <v>870</v>
      </c>
      <c r="I5" s="34"/>
      <c r="J5" s="44"/>
    </row>
    <row r="6" spans="1:10" x14ac:dyDescent="0.3">
      <c r="A6" s="59">
        <v>3</v>
      </c>
      <c r="B6" s="97" t="s">
        <v>279</v>
      </c>
      <c r="C6" s="97" t="s">
        <v>394</v>
      </c>
      <c r="D6" s="243" t="s">
        <v>640</v>
      </c>
      <c r="E6" s="243" t="s">
        <v>871</v>
      </c>
      <c r="I6" s="34"/>
      <c r="J6" s="44"/>
    </row>
    <row r="7" spans="1:10" x14ac:dyDescent="0.3">
      <c r="A7" s="59">
        <v>4</v>
      </c>
      <c r="B7" s="3" t="s">
        <v>197</v>
      </c>
      <c r="C7" s="3" t="s">
        <v>397</v>
      </c>
      <c r="D7" s="17" t="s">
        <v>641</v>
      </c>
      <c r="E7" s="17" t="s">
        <v>872</v>
      </c>
      <c r="F7" s="17"/>
      <c r="I7" s="34">
        <v>2</v>
      </c>
      <c r="J7" s="44" t="s">
        <v>120</v>
      </c>
    </row>
    <row r="8" spans="1:10" x14ac:dyDescent="0.3">
      <c r="A8" s="59">
        <v>5</v>
      </c>
      <c r="B8" s="91" t="s">
        <v>198</v>
      </c>
      <c r="C8" s="3" t="s">
        <v>396</v>
      </c>
      <c r="D8" s="91" t="s">
        <v>642</v>
      </c>
      <c r="E8" s="91" t="s">
        <v>873</v>
      </c>
      <c r="F8" s="17"/>
      <c r="G8" s="17"/>
      <c r="H8" s="17"/>
      <c r="I8" s="34">
        <v>3</v>
      </c>
      <c r="J8" s="44" t="s">
        <v>636</v>
      </c>
    </row>
    <row r="9" spans="1:10" x14ac:dyDescent="0.3">
      <c r="A9" s="59">
        <v>6</v>
      </c>
      <c r="B9" s="17" t="s">
        <v>199</v>
      </c>
      <c r="C9" s="17" t="s">
        <v>395</v>
      </c>
      <c r="D9" s="91" t="s">
        <v>643</v>
      </c>
      <c r="E9" s="91" t="s">
        <v>874</v>
      </c>
      <c r="F9" s="17"/>
      <c r="G9" s="17"/>
      <c r="H9" s="17"/>
      <c r="I9" s="34">
        <v>4</v>
      </c>
      <c r="J9" s="44" t="s">
        <v>867</v>
      </c>
    </row>
    <row r="10" spans="1:10" x14ac:dyDescent="0.3">
      <c r="A10" s="59">
        <v>7</v>
      </c>
      <c r="B10" s="92" t="s">
        <v>200</v>
      </c>
      <c r="C10" s="17" t="s">
        <v>398</v>
      </c>
      <c r="D10" s="91" t="s">
        <v>644</v>
      </c>
      <c r="E10" s="91" t="s">
        <v>875</v>
      </c>
      <c r="F10" s="17"/>
      <c r="G10" s="17"/>
      <c r="H10" s="17"/>
      <c r="I10" s="35"/>
      <c r="J10" s="45"/>
    </row>
    <row r="11" spans="1:10" ht="16.2" thickBot="1" x14ac:dyDescent="0.35">
      <c r="A11" s="59">
        <v>8</v>
      </c>
      <c r="B11" s="36" t="s">
        <v>201</v>
      </c>
      <c r="C11" s="36" t="s">
        <v>400</v>
      </c>
      <c r="D11" s="36" t="s">
        <v>645</v>
      </c>
      <c r="E11" s="36" t="s">
        <v>876</v>
      </c>
      <c r="F11" s="17"/>
      <c r="G11" s="36"/>
      <c r="H11" s="36"/>
      <c r="I11" s="37"/>
      <c r="J11" s="46"/>
    </row>
    <row r="12" spans="1:10" x14ac:dyDescent="0.3">
      <c r="A12" s="59">
        <v>9</v>
      </c>
      <c r="B12" s="36" t="s">
        <v>202</v>
      </c>
      <c r="C12" s="36" t="s">
        <v>399</v>
      </c>
      <c r="D12" s="36" t="s">
        <v>646</v>
      </c>
      <c r="E12" s="36" t="s">
        <v>877</v>
      </c>
      <c r="F12" s="17"/>
      <c r="G12" s="36"/>
      <c r="H12" s="36"/>
    </row>
    <row r="13" spans="1:10" x14ac:dyDescent="0.3">
      <c r="A13" s="59">
        <v>10</v>
      </c>
      <c r="B13" s="36" t="s">
        <v>203</v>
      </c>
      <c r="C13" s="36" t="s">
        <v>125</v>
      </c>
      <c r="D13" s="36" t="s">
        <v>125</v>
      </c>
      <c r="E13" s="36" t="s">
        <v>878</v>
      </c>
      <c r="F13" s="36"/>
      <c r="G13" s="36"/>
      <c r="H13" s="36"/>
    </row>
    <row r="14" spans="1:10" x14ac:dyDescent="0.3">
      <c r="A14" s="59">
        <v>11</v>
      </c>
      <c r="B14" s="36" t="s">
        <v>204</v>
      </c>
      <c r="C14" s="36" t="s">
        <v>401</v>
      </c>
      <c r="D14" s="36" t="s">
        <v>647</v>
      </c>
      <c r="E14" s="36" t="s">
        <v>879</v>
      </c>
      <c r="F14" s="17"/>
      <c r="G14" s="36"/>
      <c r="H14" s="36"/>
    </row>
    <row r="15" spans="1:10" x14ac:dyDescent="0.3">
      <c r="A15" s="59">
        <v>12</v>
      </c>
      <c r="B15" s="36" t="s">
        <v>169</v>
      </c>
      <c r="C15" s="36" t="s">
        <v>169</v>
      </c>
      <c r="D15" s="36" t="s">
        <v>169</v>
      </c>
      <c r="E15" s="36" t="s">
        <v>880</v>
      </c>
      <c r="F15" s="17"/>
      <c r="G15" s="36"/>
      <c r="H15" s="36"/>
    </row>
    <row r="16" spans="1:10" x14ac:dyDescent="0.3">
      <c r="A16" s="59">
        <v>13</v>
      </c>
      <c r="B16" s="36" t="s">
        <v>205</v>
      </c>
      <c r="C16" s="36" t="s">
        <v>402</v>
      </c>
      <c r="D16" s="36" t="s">
        <v>648</v>
      </c>
      <c r="E16" s="36" t="s">
        <v>881</v>
      </c>
      <c r="F16" s="17"/>
      <c r="G16" s="36"/>
      <c r="H16" s="36"/>
    </row>
    <row r="17" spans="1:8" x14ac:dyDescent="0.3">
      <c r="A17" s="59">
        <v>14</v>
      </c>
      <c r="B17" s="36" t="s">
        <v>403</v>
      </c>
      <c r="C17" s="36" t="s">
        <v>403</v>
      </c>
      <c r="D17" s="36" t="s">
        <v>403</v>
      </c>
      <c r="E17" s="36" t="s">
        <v>882</v>
      </c>
      <c r="F17" s="17"/>
      <c r="G17" s="36"/>
      <c r="H17" s="36"/>
    </row>
    <row r="18" spans="1:8" x14ac:dyDescent="0.3">
      <c r="A18" s="59">
        <v>15</v>
      </c>
      <c r="B18" s="93" t="s">
        <v>206</v>
      </c>
      <c r="C18" s="36" t="s">
        <v>404</v>
      </c>
      <c r="D18" s="36" t="s">
        <v>649</v>
      </c>
      <c r="E18" s="93" t="s">
        <v>883</v>
      </c>
      <c r="F18" s="17"/>
      <c r="G18" s="36"/>
      <c r="H18" s="36"/>
    </row>
    <row r="19" spans="1:8" x14ac:dyDescent="0.3">
      <c r="A19" s="59">
        <v>16</v>
      </c>
      <c r="B19" s="94" t="s">
        <v>207</v>
      </c>
      <c r="C19" s="36" t="s">
        <v>405</v>
      </c>
      <c r="D19" s="36" t="s">
        <v>650</v>
      </c>
      <c r="E19" s="94" t="s">
        <v>884</v>
      </c>
      <c r="G19" s="36"/>
      <c r="H19" s="36"/>
    </row>
    <row r="20" spans="1:8" x14ac:dyDescent="0.3">
      <c r="A20" s="59">
        <v>17</v>
      </c>
      <c r="B20" s="36" t="s">
        <v>1101</v>
      </c>
      <c r="C20" s="36" t="s">
        <v>1100</v>
      </c>
      <c r="D20" s="36" t="s">
        <v>651</v>
      </c>
      <c r="E20" s="36" t="s">
        <v>885</v>
      </c>
      <c r="F20"/>
      <c r="G20" s="36"/>
      <c r="H20" s="36"/>
    </row>
    <row r="21" spans="1:8" x14ac:dyDescent="0.3">
      <c r="A21" s="59">
        <v>18</v>
      </c>
      <c r="B21" s="36" t="s">
        <v>208</v>
      </c>
      <c r="C21" s="36" t="s">
        <v>406</v>
      </c>
      <c r="D21" s="91" t="s">
        <v>652</v>
      </c>
      <c r="E21" s="94" t="s">
        <v>886</v>
      </c>
      <c r="F21"/>
      <c r="G21" s="36"/>
      <c r="H21" s="36"/>
    </row>
    <row r="22" spans="1:8" x14ac:dyDescent="0.3">
      <c r="A22" s="59">
        <v>19</v>
      </c>
      <c r="B22" s="36" t="s">
        <v>209</v>
      </c>
      <c r="C22" s="36" t="s">
        <v>407</v>
      </c>
      <c r="D22" s="36" t="s">
        <v>653</v>
      </c>
      <c r="E22" s="36" t="s">
        <v>887</v>
      </c>
      <c r="F22"/>
      <c r="G22" s="36"/>
      <c r="H22" s="36"/>
    </row>
    <row r="23" spans="1:8" x14ac:dyDescent="0.3">
      <c r="A23" s="59">
        <v>20</v>
      </c>
      <c r="B23" s="36" t="s">
        <v>210</v>
      </c>
      <c r="C23" s="36" t="s">
        <v>408</v>
      </c>
      <c r="D23" s="36" t="s">
        <v>646</v>
      </c>
      <c r="E23" s="36" t="s">
        <v>888</v>
      </c>
      <c r="F23"/>
      <c r="G23" s="36"/>
      <c r="H23" s="36"/>
    </row>
    <row r="24" spans="1:8" x14ac:dyDescent="0.3">
      <c r="A24" s="59">
        <v>21</v>
      </c>
      <c r="B24" s="36" t="s">
        <v>211</v>
      </c>
      <c r="C24" s="36" t="s">
        <v>409</v>
      </c>
      <c r="D24" s="36" t="s">
        <v>654</v>
      </c>
      <c r="E24" s="36" t="s">
        <v>889</v>
      </c>
      <c r="F24"/>
      <c r="G24" s="36"/>
      <c r="H24" s="36"/>
    </row>
    <row r="25" spans="1:8" x14ac:dyDescent="0.3">
      <c r="A25" s="59">
        <v>22</v>
      </c>
      <c r="B25" s="36" t="s">
        <v>212</v>
      </c>
      <c r="C25" s="36" t="s">
        <v>212</v>
      </c>
      <c r="D25" s="36" t="s">
        <v>655</v>
      </c>
      <c r="E25" s="36" t="s">
        <v>890</v>
      </c>
      <c r="F25"/>
      <c r="G25" s="36"/>
      <c r="H25" s="36"/>
    </row>
    <row r="26" spans="1:8" x14ac:dyDescent="0.3">
      <c r="A26" s="59">
        <v>23</v>
      </c>
      <c r="B26" s="36" t="s">
        <v>213</v>
      </c>
      <c r="C26" s="36" t="s">
        <v>213</v>
      </c>
      <c r="D26" s="36" t="s">
        <v>656</v>
      </c>
      <c r="E26" s="36" t="s">
        <v>891</v>
      </c>
      <c r="F26"/>
      <c r="G26" s="36"/>
      <c r="H26" s="36"/>
    </row>
    <row r="27" spans="1:8" x14ac:dyDescent="0.3">
      <c r="A27" s="59">
        <v>24</v>
      </c>
      <c r="B27" s="36" t="s">
        <v>214</v>
      </c>
      <c r="C27" s="36" t="s">
        <v>410</v>
      </c>
      <c r="D27" s="36" t="s">
        <v>657</v>
      </c>
      <c r="E27" s="36" t="s">
        <v>892</v>
      </c>
      <c r="F27"/>
      <c r="G27" s="36"/>
      <c r="H27" s="36"/>
    </row>
    <row r="28" spans="1:8" x14ac:dyDescent="0.3">
      <c r="A28" s="59">
        <v>25</v>
      </c>
      <c r="B28" s="36" t="s">
        <v>215</v>
      </c>
      <c r="C28" s="36" t="s">
        <v>215</v>
      </c>
      <c r="D28" s="36" t="s">
        <v>215</v>
      </c>
      <c r="E28" s="36" t="s">
        <v>893</v>
      </c>
      <c r="F28"/>
      <c r="G28" s="36"/>
      <c r="H28" s="36"/>
    </row>
    <row r="29" spans="1:8" x14ac:dyDescent="0.3">
      <c r="A29" s="59">
        <v>26</v>
      </c>
      <c r="B29" s="36" t="s">
        <v>216</v>
      </c>
      <c r="C29" s="36" t="s">
        <v>411</v>
      </c>
      <c r="D29" s="36" t="s">
        <v>658</v>
      </c>
      <c r="E29" s="36" t="s">
        <v>894</v>
      </c>
      <c r="F29"/>
      <c r="G29" s="36"/>
      <c r="H29" s="36"/>
    </row>
    <row r="30" spans="1:8" x14ac:dyDescent="0.3">
      <c r="A30" s="59">
        <v>27</v>
      </c>
      <c r="B30" s="36" t="s">
        <v>217</v>
      </c>
      <c r="C30" s="36" t="s">
        <v>412</v>
      </c>
      <c r="D30" s="36" t="s">
        <v>659</v>
      </c>
      <c r="E30" s="36" t="s">
        <v>895</v>
      </c>
      <c r="F30"/>
      <c r="G30" s="36"/>
      <c r="H30" s="36"/>
    </row>
    <row r="31" spans="1:8" x14ac:dyDescent="0.3">
      <c r="A31" s="59">
        <v>28</v>
      </c>
      <c r="B31" s="36" t="s">
        <v>413</v>
      </c>
      <c r="C31" s="36" t="s">
        <v>415</v>
      </c>
      <c r="D31" s="36" t="s">
        <v>660</v>
      </c>
      <c r="E31" s="36" t="s">
        <v>896</v>
      </c>
      <c r="F31"/>
      <c r="G31" s="36"/>
      <c r="H31" s="36"/>
    </row>
    <row r="32" spans="1:8" x14ac:dyDescent="0.3">
      <c r="A32" s="59">
        <v>29</v>
      </c>
      <c r="B32" s="36" t="s">
        <v>414</v>
      </c>
      <c r="C32" s="36" t="s">
        <v>416</v>
      </c>
      <c r="D32" s="36" t="s">
        <v>661</v>
      </c>
      <c r="E32" s="36" t="s">
        <v>897</v>
      </c>
      <c r="F32"/>
      <c r="G32" s="36"/>
      <c r="H32" s="36"/>
    </row>
    <row r="33" spans="1:8" x14ac:dyDescent="0.3">
      <c r="B33" s="36" t="s">
        <v>865</v>
      </c>
      <c r="C33" s="36" t="s">
        <v>866</v>
      </c>
      <c r="D33" s="36" t="s">
        <v>674</v>
      </c>
      <c r="E33" s="36" t="s">
        <v>898</v>
      </c>
      <c r="F33"/>
      <c r="G33" s="36"/>
      <c r="H33" s="36"/>
    </row>
    <row r="34" spans="1:8" x14ac:dyDescent="0.3">
      <c r="A34" s="59">
        <v>30</v>
      </c>
      <c r="B34" s="36" t="s">
        <v>218</v>
      </c>
      <c r="C34" s="36" t="s">
        <v>417</v>
      </c>
      <c r="D34" s="36" t="s">
        <v>662</v>
      </c>
      <c r="E34" s="36" t="s">
        <v>899</v>
      </c>
      <c r="F34"/>
      <c r="G34" s="36"/>
      <c r="H34" s="36"/>
    </row>
    <row r="35" spans="1:8" x14ac:dyDescent="0.3">
      <c r="A35" s="59">
        <v>31</v>
      </c>
      <c r="B35" s="36" t="s">
        <v>219</v>
      </c>
      <c r="C35" s="36" t="s">
        <v>418</v>
      </c>
      <c r="D35" s="36" t="s">
        <v>663</v>
      </c>
      <c r="E35" s="36" t="s">
        <v>900</v>
      </c>
      <c r="F35"/>
      <c r="G35" s="36"/>
      <c r="H35" s="36"/>
    </row>
    <row r="36" spans="1:8" x14ac:dyDescent="0.3">
      <c r="A36" s="59">
        <v>32</v>
      </c>
      <c r="B36" s="36" t="s">
        <v>220</v>
      </c>
      <c r="C36" s="36" t="s">
        <v>419</v>
      </c>
      <c r="D36" s="36" t="s">
        <v>664</v>
      </c>
      <c r="E36" s="87" t="s">
        <v>901</v>
      </c>
      <c r="F36" s="36"/>
      <c r="G36" s="36"/>
      <c r="H36" s="36"/>
    </row>
    <row r="37" spans="1:8" x14ac:dyDescent="0.3">
      <c r="A37" s="59">
        <v>33</v>
      </c>
      <c r="B37" s="36" t="s">
        <v>221</v>
      </c>
      <c r="C37" s="36" t="s">
        <v>420</v>
      </c>
      <c r="D37" s="36" t="s">
        <v>665</v>
      </c>
      <c r="E37" s="36" t="s">
        <v>902</v>
      </c>
      <c r="F37"/>
      <c r="G37" s="36"/>
      <c r="H37" s="36"/>
    </row>
    <row r="38" spans="1:8" x14ac:dyDescent="0.3">
      <c r="A38" s="59">
        <v>34</v>
      </c>
      <c r="B38" s="36" t="s">
        <v>222</v>
      </c>
      <c r="C38" s="36" t="s">
        <v>421</v>
      </c>
      <c r="D38" s="36" t="s">
        <v>666</v>
      </c>
      <c r="E38" s="36" t="s">
        <v>903</v>
      </c>
      <c r="F38" s="38"/>
      <c r="G38" s="36"/>
      <c r="H38" s="36"/>
    </row>
    <row r="39" spans="1:8" x14ac:dyDescent="0.3">
      <c r="A39" s="59">
        <v>35</v>
      </c>
      <c r="B39" s="36" t="s">
        <v>223</v>
      </c>
      <c r="C39" s="36" t="s">
        <v>422</v>
      </c>
      <c r="D39" s="36" t="s">
        <v>667</v>
      </c>
      <c r="E39" s="87" t="s">
        <v>904</v>
      </c>
      <c r="F39"/>
      <c r="G39" s="36"/>
      <c r="H39" s="36"/>
    </row>
    <row r="40" spans="1:8" x14ac:dyDescent="0.3">
      <c r="A40" s="59">
        <v>36</v>
      </c>
      <c r="B40" s="36" t="s">
        <v>224</v>
      </c>
      <c r="C40" s="36" t="s">
        <v>423</v>
      </c>
      <c r="D40" s="36" t="s">
        <v>668</v>
      </c>
      <c r="E40" s="36" t="s">
        <v>905</v>
      </c>
      <c r="F40"/>
      <c r="G40" s="36"/>
      <c r="H40" s="36"/>
    </row>
    <row r="41" spans="1:8" x14ac:dyDescent="0.3">
      <c r="A41" s="59">
        <v>37</v>
      </c>
      <c r="B41" s="35" t="s">
        <v>225</v>
      </c>
      <c r="C41" s="36" t="s">
        <v>424</v>
      </c>
      <c r="D41" s="36" t="s">
        <v>669</v>
      </c>
      <c r="E41" s="35" t="s">
        <v>906</v>
      </c>
      <c r="F41"/>
      <c r="G41" s="36"/>
      <c r="H41" s="36"/>
    </row>
    <row r="42" spans="1:8" x14ac:dyDescent="0.3">
      <c r="B42" s="35" t="s">
        <v>12</v>
      </c>
      <c r="C42" s="36" t="s">
        <v>13</v>
      </c>
      <c r="D42" s="36" t="s">
        <v>670</v>
      </c>
      <c r="E42" s="35" t="s">
        <v>907</v>
      </c>
      <c r="F42"/>
      <c r="G42" s="36"/>
      <c r="H42" s="36"/>
    </row>
    <row r="43" spans="1:8" x14ac:dyDescent="0.3">
      <c r="A43" s="59">
        <v>38</v>
      </c>
      <c r="B43" s="35" t="s">
        <v>226</v>
      </c>
      <c r="C43" s="36" t="s">
        <v>425</v>
      </c>
      <c r="D43" s="36" t="s">
        <v>671</v>
      </c>
      <c r="E43" s="35" t="s">
        <v>908</v>
      </c>
      <c r="F43"/>
      <c r="G43" s="36"/>
      <c r="H43" s="36"/>
    </row>
    <row r="44" spans="1:8" x14ac:dyDescent="0.3">
      <c r="A44" s="59">
        <v>39</v>
      </c>
      <c r="B44" s="36" t="s">
        <v>227</v>
      </c>
      <c r="C44" s="36" t="s">
        <v>426</v>
      </c>
      <c r="D44" s="36" t="s">
        <v>672</v>
      </c>
      <c r="E44" s="36" t="s">
        <v>909</v>
      </c>
      <c r="F44"/>
      <c r="G44" s="36"/>
      <c r="H44" s="36"/>
    </row>
    <row r="45" spans="1:8" x14ac:dyDescent="0.3">
      <c r="A45" s="59">
        <v>40</v>
      </c>
      <c r="B45" s="36" t="s">
        <v>228</v>
      </c>
      <c r="C45" s="36" t="s">
        <v>14</v>
      </c>
      <c r="D45" s="36" t="s">
        <v>673</v>
      </c>
      <c r="E45" s="36" t="s">
        <v>910</v>
      </c>
      <c r="F45"/>
      <c r="G45" s="36"/>
      <c r="H45" s="36"/>
    </row>
    <row r="46" spans="1:8" x14ac:dyDescent="0.3">
      <c r="A46" s="59">
        <v>41</v>
      </c>
      <c r="B46" s="36" t="s">
        <v>229</v>
      </c>
      <c r="C46" s="36" t="s">
        <v>427</v>
      </c>
      <c r="D46" s="36" t="s">
        <v>674</v>
      </c>
      <c r="E46" s="36" t="s">
        <v>911</v>
      </c>
      <c r="F46"/>
      <c r="G46" s="36"/>
      <c r="H46" s="36"/>
    </row>
    <row r="47" spans="1:8" x14ac:dyDescent="0.3">
      <c r="A47" s="59">
        <v>42</v>
      </c>
      <c r="B47" s="36" t="s">
        <v>230</v>
      </c>
      <c r="C47" s="36" t="s">
        <v>428</v>
      </c>
      <c r="D47" s="36" t="s">
        <v>675</v>
      </c>
      <c r="E47" s="36" t="s">
        <v>912</v>
      </c>
      <c r="F47"/>
      <c r="G47" s="36"/>
      <c r="H47" s="36"/>
    </row>
    <row r="48" spans="1:8" x14ac:dyDescent="0.3">
      <c r="A48" s="59">
        <v>43</v>
      </c>
      <c r="B48" s="36" t="s">
        <v>231</v>
      </c>
      <c r="C48" s="36" t="s">
        <v>429</v>
      </c>
      <c r="D48" s="36" t="s">
        <v>676</v>
      </c>
      <c r="E48" s="87" t="s">
        <v>913</v>
      </c>
      <c r="F48"/>
      <c r="G48" s="36"/>
      <c r="H48" s="36"/>
    </row>
    <row r="49" spans="1:8" x14ac:dyDescent="0.3">
      <c r="A49" s="59">
        <v>44</v>
      </c>
      <c r="B49" s="36" t="s">
        <v>232</v>
      </c>
      <c r="C49" s="36" t="s">
        <v>430</v>
      </c>
      <c r="D49" s="36" t="s">
        <v>857</v>
      </c>
      <c r="E49" s="36" t="s">
        <v>914</v>
      </c>
      <c r="F49"/>
      <c r="G49" s="39"/>
      <c r="H49" s="39"/>
    </row>
    <row r="50" spans="1:8" x14ac:dyDescent="0.3">
      <c r="A50" s="59">
        <v>45</v>
      </c>
      <c r="B50" s="36" t="s">
        <v>233</v>
      </c>
      <c r="C50" s="36" t="s">
        <v>431</v>
      </c>
      <c r="D50" s="36" t="s">
        <v>858</v>
      </c>
      <c r="E50" s="36" t="s">
        <v>915</v>
      </c>
      <c r="F50" s="38"/>
      <c r="G50" s="36"/>
      <c r="H50" s="36"/>
    </row>
    <row r="51" spans="1:8" x14ac:dyDescent="0.3">
      <c r="A51" s="59">
        <v>46</v>
      </c>
      <c r="B51" s="36" t="s">
        <v>234</v>
      </c>
      <c r="C51" s="36" t="s">
        <v>432</v>
      </c>
      <c r="D51" s="36" t="s">
        <v>859</v>
      </c>
      <c r="E51" s="36" t="s">
        <v>916</v>
      </c>
      <c r="F51"/>
      <c r="G51" s="40"/>
      <c r="H51" s="40"/>
    </row>
    <row r="52" spans="1:8" x14ac:dyDescent="0.3">
      <c r="A52" s="59">
        <v>47</v>
      </c>
      <c r="B52" s="36" t="s">
        <v>235</v>
      </c>
      <c r="C52" s="36" t="s">
        <v>433</v>
      </c>
      <c r="D52" s="36" t="s">
        <v>860</v>
      </c>
      <c r="E52" s="36" t="s">
        <v>917</v>
      </c>
      <c r="F52"/>
      <c r="G52" s="40"/>
      <c r="H52" s="40"/>
    </row>
    <row r="53" spans="1:8" x14ac:dyDescent="0.3">
      <c r="A53" s="59">
        <v>48</v>
      </c>
      <c r="B53" s="36" t="s">
        <v>236</v>
      </c>
      <c r="C53" s="36" t="s">
        <v>434</v>
      </c>
      <c r="D53" s="36" t="s">
        <v>861</v>
      </c>
      <c r="E53" s="36" t="s">
        <v>918</v>
      </c>
      <c r="F53"/>
      <c r="G53" s="36"/>
      <c r="H53" s="36"/>
    </row>
    <row r="54" spans="1:8" x14ac:dyDescent="0.3">
      <c r="A54" s="59">
        <v>49</v>
      </c>
      <c r="B54" s="36" t="s">
        <v>436</v>
      </c>
      <c r="C54" s="36" t="s">
        <v>435</v>
      </c>
      <c r="D54" s="36" t="s">
        <v>677</v>
      </c>
      <c r="E54" s="36" t="s">
        <v>919</v>
      </c>
      <c r="F54"/>
      <c r="G54" s="36"/>
      <c r="H54" s="36"/>
    </row>
    <row r="55" spans="1:8" x14ac:dyDescent="0.3">
      <c r="A55" s="59">
        <v>50</v>
      </c>
      <c r="B55" s="36" t="s">
        <v>237</v>
      </c>
      <c r="C55" s="36" t="s">
        <v>437</v>
      </c>
      <c r="D55" s="87" t="s">
        <v>678</v>
      </c>
      <c r="E55" s="36" t="s">
        <v>920</v>
      </c>
      <c r="F55"/>
      <c r="G55" s="36"/>
      <c r="H55" s="36"/>
    </row>
    <row r="56" spans="1:8" x14ac:dyDescent="0.3">
      <c r="A56" s="59">
        <v>51</v>
      </c>
      <c r="B56" s="36" t="s">
        <v>238</v>
      </c>
      <c r="C56" s="36" t="s">
        <v>438</v>
      </c>
      <c r="D56" s="87" t="s">
        <v>679</v>
      </c>
      <c r="E56" s="36" t="s">
        <v>921</v>
      </c>
      <c r="F56"/>
      <c r="G56" s="36"/>
      <c r="H56" s="36"/>
    </row>
    <row r="57" spans="1:8" x14ac:dyDescent="0.3">
      <c r="A57" s="59">
        <v>52</v>
      </c>
      <c r="B57" s="36" t="s">
        <v>239</v>
      </c>
      <c r="C57" s="36" t="s">
        <v>439</v>
      </c>
      <c r="D57" s="36" t="s">
        <v>680</v>
      </c>
      <c r="E57" s="36" t="s">
        <v>922</v>
      </c>
      <c r="F57"/>
      <c r="G57" s="36"/>
      <c r="H57" s="36"/>
    </row>
    <row r="58" spans="1:8" x14ac:dyDescent="0.3">
      <c r="A58" s="59">
        <v>53</v>
      </c>
      <c r="B58" s="36" t="s">
        <v>240</v>
      </c>
      <c r="C58" s="36" t="s">
        <v>179</v>
      </c>
      <c r="D58" s="36" t="s">
        <v>681</v>
      </c>
      <c r="E58" s="36" t="s">
        <v>923</v>
      </c>
      <c r="F58"/>
      <c r="G58" s="36"/>
      <c r="H58" s="36"/>
    </row>
    <row r="59" spans="1:8" x14ac:dyDescent="0.3">
      <c r="A59" s="59">
        <v>54</v>
      </c>
      <c r="B59" s="36" t="s">
        <v>241</v>
      </c>
      <c r="C59" s="36" t="s">
        <v>440</v>
      </c>
      <c r="D59" s="36" t="s">
        <v>682</v>
      </c>
      <c r="E59" s="36" t="s">
        <v>924</v>
      </c>
      <c r="F59"/>
      <c r="G59" s="36"/>
      <c r="H59" s="36"/>
    </row>
    <row r="60" spans="1:8" x14ac:dyDescent="0.3">
      <c r="A60" s="59">
        <v>55</v>
      </c>
      <c r="B60" s="36" t="s">
        <v>242</v>
      </c>
      <c r="C60" s="36" t="s">
        <v>441</v>
      </c>
      <c r="D60" s="36" t="s">
        <v>683</v>
      </c>
      <c r="E60" s="36" t="s">
        <v>925</v>
      </c>
      <c r="F60"/>
      <c r="G60" s="36"/>
      <c r="H60" s="36"/>
    </row>
    <row r="61" spans="1:8" x14ac:dyDescent="0.3">
      <c r="A61" s="59">
        <v>56</v>
      </c>
      <c r="B61" s="36" t="s">
        <v>243</v>
      </c>
      <c r="C61" s="36" t="s">
        <v>442</v>
      </c>
      <c r="D61" s="36" t="s">
        <v>684</v>
      </c>
      <c r="E61" s="36" t="s">
        <v>926</v>
      </c>
      <c r="F61"/>
      <c r="G61" s="36"/>
      <c r="H61" s="36"/>
    </row>
    <row r="62" spans="1:8" x14ac:dyDescent="0.3">
      <c r="A62" s="59">
        <v>57</v>
      </c>
      <c r="B62" s="36" t="s">
        <v>244</v>
      </c>
      <c r="C62" s="36" t="s">
        <v>443</v>
      </c>
      <c r="D62" s="36" t="s">
        <v>685</v>
      </c>
      <c r="E62" s="36" t="s">
        <v>927</v>
      </c>
      <c r="F62"/>
      <c r="G62" s="36"/>
      <c r="H62" s="36"/>
    </row>
    <row r="63" spans="1:8" x14ac:dyDescent="0.3">
      <c r="A63" s="59">
        <v>58</v>
      </c>
      <c r="B63" s="36" t="s">
        <v>245</v>
      </c>
      <c r="C63" s="36" t="s">
        <v>444</v>
      </c>
      <c r="D63" s="36" t="s">
        <v>686</v>
      </c>
      <c r="E63" s="36" t="s">
        <v>928</v>
      </c>
      <c r="F63"/>
      <c r="G63" s="36"/>
      <c r="H63" s="36"/>
    </row>
    <row r="64" spans="1:8" x14ac:dyDescent="0.3">
      <c r="A64" s="59">
        <v>59</v>
      </c>
      <c r="B64" s="36" t="s">
        <v>246</v>
      </c>
      <c r="C64" s="36" t="s">
        <v>445</v>
      </c>
      <c r="D64" s="36" t="s">
        <v>687</v>
      </c>
      <c r="E64" s="36" t="s">
        <v>929</v>
      </c>
      <c r="F64"/>
      <c r="G64" s="36"/>
      <c r="H64" s="36"/>
    </row>
    <row r="65" spans="1:8" x14ac:dyDescent="0.3">
      <c r="A65" s="59">
        <v>60</v>
      </c>
      <c r="B65" s="96" t="s">
        <v>247</v>
      </c>
      <c r="C65" s="96" t="s">
        <v>446</v>
      </c>
      <c r="D65" s="244" t="s">
        <v>688</v>
      </c>
      <c r="E65" s="244" t="s">
        <v>930</v>
      </c>
      <c r="F65"/>
      <c r="G65" s="36"/>
      <c r="H65" s="36"/>
    </row>
    <row r="66" spans="1:8" x14ac:dyDescent="0.3">
      <c r="A66" s="59">
        <v>61</v>
      </c>
      <c r="B66" s="36" t="s">
        <v>248</v>
      </c>
      <c r="C66" s="36" t="s">
        <v>447</v>
      </c>
      <c r="D66" s="36" t="s">
        <v>689</v>
      </c>
      <c r="E66" s="36" t="s">
        <v>931</v>
      </c>
      <c r="F66"/>
      <c r="G66" s="36"/>
      <c r="H66" s="36"/>
    </row>
    <row r="67" spans="1:8" x14ac:dyDescent="0.3">
      <c r="A67" s="59">
        <v>62</v>
      </c>
      <c r="B67" s="36" t="s">
        <v>249</v>
      </c>
      <c r="C67" s="36" t="s">
        <v>448</v>
      </c>
      <c r="D67" s="36" t="s">
        <v>690</v>
      </c>
      <c r="E67" s="36" t="s">
        <v>932</v>
      </c>
      <c r="F67"/>
      <c r="G67" s="36"/>
      <c r="H67" s="36"/>
    </row>
    <row r="68" spans="1:8" x14ac:dyDescent="0.3">
      <c r="A68" s="59">
        <v>63</v>
      </c>
      <c r="B68" s="36" t="s">
        <v>250</v>
      </c>
      <c r="C68" s="36" t="s">
        <v>449</v>
      </c>
      <c r="D68" s="36" t="s">
        <v>691</v>
      </c>
      <c r="E68" s="36" t="s">
        <v>933</v>
      </c>
      <c r="F68"/>
      <c r="G68" s="36"/>
      <c r="H68" s="36"/>
    </row>
    <row r="69" spans="1:8" x14ac:dyDescent="0.3">
      <c r="A69" s="59">
        <v>64</v>
      </c>
      <c r="B69" s="36" t="s">
        <v>251</v>
      </c>
      <c r="C69" s="36" t="s">
        <v>450</v>
      </c>
      <c r="D69" s="36" t="s">
        <v>692</v>
      </c>
      <c r="E69" s="36" t="s">
        <v>934</v>
      </c>
      <c r="F69"/>
      <c r="G69" s="36"/>
      <c r="H69" s="36"/>
    </row>
    <row r="70" spans="1:8" x14ac:dyDescent="0.3">
      <c r="A70" s="59">
        <v>65</v>
      </c>
      <c r="B70" s="36" t="s">
        <v>252</v>
      </c>
      <c r="C70" s="36" t="s">
        <v>451</v>
      </c>
      <c r="D70" s="36" t="s">
        <v>693</v>
      </c>
      <c r="E70" s="36" t="s">
        <v>252</v>
      </c>
      <c r="F70"/>
      <c r="G70" s="36"/>
      <c r="H70" s="36"/>
    </row>
    <row r="71" spans="1:8" x14ac:dyDescent="0.3">
      <c r="A71" s="59">
        <v>66</v>
      </c>
      <c r="B71" s="36" t="s">
        <v>253</v>
      </c>
      <c r="C71" s="36" t="s">
        <v>452</v>
      </c>
      <c r="D71" s="36" t="s">
        <v>694</v>
      </c>
      <c r="E71" s="36" t="s">
        <v>253</v>
      </c>
      <c r="F71"/>
      <c r="G71" s="36"/>
      <c r="H71" s="36"/>
    </row>
    <row r="72" spans="1:8" x14ac:dyDescent="0.3">
      <c r="A72" s="59">
        <v>67</v>
      </c>
      <c r="B72" s="36" t="s">
        <v>254</v>
      </c>
      <c r="C72" s="36" t="s">
        <v>453</v>
      </c>
      <c r="D72" s="36" t="s">
        <v>695</v>
      </c>
      <c r="E72" s="36" t="s">
        <v>935</v>
      </c>
      <c r="F72"/>
      <c r="G72" s="36"/>
      <c r="H72" s="36"/>
    </row>
    <row r="73" spans="1:8" x14ac:dyDescent="0.3">
      <c r="A73" s="59">
        <v>68</v>
      </c>
      <c r="B73" s="36" t="s">
        <v>255</v>
      </c>
      <c r="C73" s="36" t="s">
        <v>454</v>
      </c>
      <c r="D73" s="36" t="s">
        <v>696</v>
      </c>
      <c r="E73" s="36" t="s">
        <v>936</v>
      </c>
      <c r="F73"/>
      <c r="G73" s="36"/>
      <c r="H73" s="36"/>
    </row>
    <row r="74" spans="1:8" x14ac:dyDescent="0.3">
      <c r="A74" s="59">
        <v>69</v>
      </c>
      <c r="B74" s="36" t="s">
        <v>256</v>
      </c>
      <c r="C74" s="36" t="s">
        <v>455</v>
      </c>
      <c r="D74" s="36" t="s">
        <v>697</v>
      </c>
      <c r="E74" s="36" t="s">
        <v>937</v>
      </c>
      <c r="F74"/>
      <c r="G74" s="36"/>
      <c r="H74" s="36"/>
    </row>
    <row r="75" spans="1:8" x14ac:dyDescent="0.3">
      <c r="A75" s="59">
        <v>70</v>
      </c>
      <c r="B75" s="36" t="s">
        <v>257</v>
      </c>
      <c r="C75" s="36" t="s">
        <v>409</v>
      </c>
      <c r="D75" s="36" t="s">
        <v>698</v>
      </c>
      <c r="E75" s="36" t="s">
        <v>938</v>
      </c>
      <c r="F75"/>
      <c r="G75" s="36"/>
      <c r="H75" s="36"/>
    </row>
    <row r="76" spans="1:8" x14ac:dyDescent="0.3">
      <c r="A76" s="59">
        <v>71</v>
      </c>
      <c r="B76" s="36" t="s">
        <v>258</v>
      </c>
      <c r="C76" s="36" t="s">
        <v>456</v>
      </c>
      <c r="D76" s="36" t="s">
        <v>699</v>
      </c>
      <c r="E76" s="36" t="s">
        <v>939</v>
      </c>
      <c r="F76"/>
      <c r="G76" s="36"/>
      <c r="H76" s="36"/>
    </row>
    <row r="77" spans="1:8" x14ac:dyDescent="0.3">
      <c r="A77" s="59">
        <v>72</v>
      </c>
      <c r="B77" s="96" t="s">
        <v>259</v>
      </c>
      <c r="C77" s="96" t="s">
        <v>457</v>
      </c>
      <c r="D77" s="244" t="s">
        <v>700</v>
      </c>
      <c r="E77" s="244" t="s">
        <v>940</v>
      </c>
      <c r="F77"/>
      <c r="G77" s="36"/>
      <c r="H77" s="36"/>
    </row>
    <row r="78" spans="1:8" ht="26.4" x14ac:dyDescent="0.3">
      <c r="A78" s="59">
        <v>73</v>
      </c>
      <c r="B78" s="36" t="s">
        <v>16</v>
      </c>
      <c r="C78" s="36" t="s">
        <v>15</v>
      </c>
      <c r="D78" s="36" t="s">
        <v>701</v>
      </c>
      <c r="E78" s="36" t="s">
        <v>941</v>
      </c>
      <c r="F78"/>
      <c r="G78" s="36"/>
      <c r="H78" s="36"/>
    </row>
    <row r="79" spans="1:8" ht="26.4" x14ac:dyDescent="0.3">
      <c r="A79" s="59">
        <v>74</v>
      </c>
      <c r="B79" s="36" t="s">
        <v>260</v>
      </c>
      <c r="C79" s="36" t="s">
        <v>458</v>
      </c>
      <c r="D79" s="36" t="s">
        <v>702</v>
      </c>
      <c r="E79" s="36" t="s">
        <v>942</v>
      </c>
      <c r="F79"/>
      <c r="G79" s="36"/>
      <c r="H79" s="36"/>
    </row>
    <row r="80" spans="1:8" x14ac:dyDescent="0.3">
      <c r="A80" s="59">
        <v>75</v>
      </c>
      <c r="B80" s="36" t="s">
        <v>96</v>
      </c>
      <c r="C80" s="36" t="s">
        <v>17</v>
      </c>
      <c r="D80" s="36" t="s">
        <v>703</v>
      </c>
      <c r="E80" s="36" t="s">
        <v>943</v>
      </c>
      <c r="F80"/>
      <c r="G80" s="36"/>
      <c r="H80" s="36"/>
    </row>
    <row r="81" spans="1:8" x14ac:dyDescent="0.3">
      <c r="B81" s="36" t="s">
        <v>460</v>
      </c>
      <c r="C81" s="36" t="s">
        <v>460</v>
      </c>
      <c r="D81" s="36" t="s">
        <v>460</v>
      </c>
      <c r="E81" s="36" t="s">
        <v>460</v>
      </c>
      <c r="F81"/>
      <c r="G81" s="36"/>
      <c r="H81" s="36"/>
    </row>
    <row r="82" spans="1:8" x14ac:dyDescent="0.3">
      <c r="B82" s="36" t="s">
        <v>461</v>
      </c>
      <c r="C82" s="36" t="s">
        <v>461</v>
      </c>
      <c r="D82" s="36" t="s">
        <v>461</v>
      </c>
      <c r="E82" s="36" t="s">
        <v>461</v>
      </c>
      <c r="F82"/>
      <c r="G82" s="36"/>
      <c r="H82" s="36"/>
    </row>
    <row r="83" spans="1:8" x14ac:dyDescent="0.3">
      <c r="B83" s="36" t="s">
        <v>462</v>
      </c>
      <c r="C83" s="36" t="s">
        <v>462</v>
      </c>
      <c r="D83" s="36" t="s">
        <v>462</v>
      </c>
      <c r="E83" s="36" t="s">
        <v>462</v>
      </c>
      <c r="F83"/>
      <c r="G83" s="36"/>
      <c r="H83" s="36"/>
    </row>
    <row r="84" spans="1:8" x14ac:dyDescent="0.3">
      <c r="B84" s="36" t="s">
        <v>463</v>
      </c>
      <c r="C84" s="36" t="s">
        <v>463</v>
      </c>
      <c r="D84" s="36" t="s">
        <v>463</v>
      </c>
      <c r="E84" s="36" t="s">
        <v>463</v>
      </c>
      <c r="F84"/>
      <c r="G84" s="36"/>
      <c r="H84" s="36"/>
    </row>
    <row r="85" spans="1:8" x14ac:dyDescent="0.3">
      <c r="B85" s="36" t="s">
        <v>635</v>
      </c>
      <c r="C85" s="36" t="s">
        <v>635</v>
      </c>
      <c r="D85" s="36" t="s">
        <v>635</v>
      </c>
      <c r="E85" s="36" t="s">
        <v>635</v>
      </c>
      <c r="F85"/>
      <c r="G85" s="36"/>
      <c r="H85" s="36"/>
    </row>
    <row r="86" spans="1:8" x14ac:dyDescent="0.3">
      <c r="B86" s="36" t="s">
        <v>465</v>
      </c>
      <c r="C86" s="36" t="s">
        <v>465</v>
      </c>
      <c r="D86" s="36" t="s">
        <v>465</v>
      </c>
      <c r="E86" s="36" t="s">
        <v>465</v>
      </c>
      <c r="F86"/>
      <c r="G86" s="36"/>
      <c r="H86" s="36"/>
    </row>
    <row r="87" spans="1:8" x14ac:dyDescent="0.3">
      <c r="A87" s="59">
        <v>77</v>
      </c>
      <c r="B87" s="36" t="s">
        <v>261</v>
      </c>
      <c r="C87" s="36" t="s">
        <v>459</v>
      </c>
      <c r="D87" s="36" t="s">
        <v>704</v>
      </c>
      <c r="E87" s="36" t="s">
        <v>944</v>
      </c>
      <c r="F87"/>
      <c r="G87" s="36"/>
      <c r="H87" s="36"/>
    </row>
    <row r="88" spans="1:8" x14ac:dyDescent="0.3">
      <c r="A88" s="59">
        <v>78</v>
      </c>
      <c r="B88" s="36" t="s">
        <v>262</v>
      </c>
      <c r="C88" s="36" t="s">
        <v>464</v>
      </c>
      <c r="D88" s="36" t="s">
        <v>705</v>
      </c>
      <c r="E88" s="36" t="s">
        <v>945</v>
      </c>
      <c r="F88"/>
      <c r="G88" s="36"/>
      <c r="H88" s="36"/>
    </row>
    <row r="89" spans="1:8" x14ac:dyDescent="0.3">
      <c r="A89" s="59">
        <v>79</v>
      </c>
      <c r="B89" s="36" t="s">
        <v>263</v>
      </c>
      <c r="C89" s="36" t="s">
        <v>466</v>
      </c>
      <c r="D89" s="36" t="s">
        <v>706</v>
      </c>
      <c r="E89" s="36" t="s">
        <v>946</v>
      </c>
      <c r="F89"/>
      <c r="G89" s="36"/>
      <c r="H89" s="36"/>
    </row>
    <row r="90" spans="1:8" x14ac:dyDescent="0.3">
      <c r="A90" s="59">
        <v>80</v>
      </c>
      <c r="B90" s="36" t="s">
        <v>264</v>
      </c>
      <c r="C90" s="36" t="s">
        <v>467</v>
      </c>
      <c r="D90" s="36" t="s">
        <v>707</v>
      </c>
      <c r="E90" s="36" t="s">
        <v>947</v>
      </c>
      <c r="F90"/>
      <c r="G90" s="36"/>
      <c r="H90" s="36"/>
    </row>
    <row r="91" spans="1:8" x14ac:dyDescent="0.3">
      <c r="A91" s="59">
        <v>81</v>
      </c>
      <c r="B91" s="36" t="s">
        <v>468</v>
      </c>
      <c r="C91" s="36" t="s">
        <v>469</v>
      </c>
      <c r="D91" s="36" t="s">
        <v>708</v>
      </c>
      <c r="E91" s="36" t="s">
        <v>948</v>
      </c>
      <c r="F91"/>
      <c r="G91" s="36"/>
      <c r="H91" s="36"/>
    </row>
    <row r="92" spans="1:8" x14ac:dyDescent="0.3">
      <c r="A92" s="59">
        <v>82</v>
      </c>
      <c r="B92" s="36" t="s">
        <v>265</v>
      </c>
      <c r="C92" s="36" t="s">
        <v>470</v>
      </c>
      <c r="D92" s="36" t="s">
        <v>709</v>
      </c>
      <c r="E92" s="36" t="s">
        <v>949</v>
      </c>
      <c r="F92"/>
      <c r="G92" s="36"/>
      <c r="H92" s="36"/>
    </row>
    <row r="93" spans="1:8" x14ac:dyDescent="0.3">
      <c r="A93" s="59">
        <v>83</v>
      </c>
      <c r="B93" s="36" t="s">
        <v>266</v>
      </c>
      <c r="C93" s="36" t="s">
        <v>471</v>
      </c>
      <c r="D93" s="36" t="s">
        <v>710</v>
      </c>
      <c r="E93" s="36" t="s">
        <v>950</v>
      </c>
      <c r="F93"/>
      <c r="G93" s="36"/>
      <c r="H93" s="36"/>
    </row>
    <row r="94" spans="1:8" x14ac:dyDescent="0.3">
      <c r="A94" s="59">
        <v>84</v>
      </c>
      <c r="B94" s="36" t="s">
        <v>267</v>
      </c>
      <c r="C94" s="36" t="s">
        <v>472</v>
      </c>
      <c r="D94" s="36" t="s">
        <v>711</v>
      </c>
      <c r="E94" s="36" t="s">
        <v>951</v>
      </c>
      <c r="F94"/>
      <c r="G94" s="36"/>
      <c r="H94" s="36"/>
    </row>
    <row r="95" spans="1:8" x14ac:dyDescent="0.3">
      <c r="A95" s="59">
        <v>85</v>
      </c>
      <c r="B95" s="36" t="s">
        <v>268</v>
      </c>
      <c r="C95" s="36" t="s">
        <v>473</v>
      </c>
      <c r="D95" s="36" t="s">
        <v>712</v>
      </c>
      <c r="E95" s="36" t="s">
        <v>952</v>
      </c>
      <c r="F95"/>
      <c r="G95" s="36"/>
      <c r="H95" s="36"/>
    </row>
    <row r="96" spans="1:8" x14ac:dyDescent="0.3">
      <c r="A96" s="59">
        <v>86</v>
      </c>
      <c r="B96" s="36" t="s">
        <v>269</v>
      </c>
      <c r="C96" s="36" t="s">
        <v>474</v>
      </c>
      <c r="D96" s="36" t="s">
        <v>713</v>
      </c>
      <c r="E96" s="36" t="s">
        <v>953</v>
      </c>
      <c r="F96"/>
      <c r="G96" s="36"/>
      <c r="H96" s="36"/>
    </row>
    <row r="97" spans="1:8" x14ac:dyDescent="0.3">
      <c r="A97" s="59">
        <v>87</v>
      </c>
      <c r="B97" s="36" t="s">
        <v>270</v>
      </c>
      <c r="C97" s="36" t="s">
        <v>475</v>
      </c>
      <c r="D97" s="36" t="s">
        <v>714</v>
      </c>
      <c r="E97" s="36" t="s">
        <v>954</v>
      </c>
      <c r="F97"/>
      <c r="G97" s="36"/>
      <c r="H97" s="36"/>
    </row>
    <row r="98" spans="1:8" x14ac:dyDescent="0.3">
      <c r="A98" s="59">
        <v>88</v>
      </c>
      <c r="B98" s="36" t="s">
        <v>477</v>
      </c>
      <c r="C98" s="36" t="s">
        <v>476</v>
      </c>
      <c r="D98" s="36" t="s">
        <v>715</v>
      </c>
      <c r="E98" s="36" t="s">
        <v>955</v>
      </c>
      <c r="F98"/>
      <c r="G98" s="36"/>
      <c r="H98" s="36"/>
    </row>
    <row r="99" spans="1:8" ht="26.4" x14ac:dyDescent="0.3">
      <c r="A99" s="59">
        <v>89</v>
      </c>
      <c r="B99" s="36" t="s">
        <v>271</v>
      </c>
      <c r="C99" s="36" t="s">
        <v>18</v>
      </c>
      <c r="D99" s="36" t="s">
        <v>716</v>
      </c>
      <c r="E99" s="36" t="s">
        <v>956</v>
      </c>
      <c r="F99"/>
      <c r="G99" s="36"/>
      <c r="H99" s="36"/>
    </row>
    <row r="100" spans="1:8" x14ac:dyDescent="0.3">
      <c r="A100" s="59">
        <v>90</v>
      </c>
      <c r="B100" s="36" t="s">
        <v>272</v>
      </c>
      <c r="C100" s="36" t="s">
        <v>478</v>
      </c>
      <c r="D100" s="36" t="s">
        <v>717</v>
      </c>
      <c r="E100" s="36" t="s">
        <v>957</v>
      </c>
      <c r="F100"/>
      <c r="G100" s="36"/>
      <c r="H100" s="36"/>
    </row>
    <row r="101" spans="1:8" x14ac:dyDescent="0.3">
      <c r="A101" s="59">
        <v>91</v>
      </c>
      <c r="B101" s="36" t="s">
        <v>273</v>
      </c>
      <c r="C101" s="36" t="s">
        <v>479</v>
      </c>
      <c r="D101" s="36" t="s">
        <v>718</v>
      </c>
      <c r="E101" s="36" t="s">
        <v>958</v>
      </c>
      <c r="F101"/>
      <c r="G101" s="36"/>
      <c r="H101" s="36"/>
    </row>
    <row r="102" spans="1:8" x14ac:dyDescent="0.3">
      <c r="A102" s="59">
        <v>92</v>
      </c>
      <c r="B102" s="36" t="s">
        <v>274</v>
      </c>
      <c r="C102" s="36" t="s">
        <v>480</v>
      </c>
      <c r="D102" s="36" t="s">
        <v>719</v>
      </c>
      <c r="E102" s="36" t="s">
        <v>959</v>
      </c>
      <c r="F102"/>
      <c r="G102" s="36"/>
      <c r="H102" s="36"/>
    </row>
    <row r="103" spans="1:8" x14ac:dyDescent="0.3">
      <c r="A103" s="59">
        <v>93</v>
      </c>
      <c r="B103" s="36" t="s">
        <v>481</v>
      </c>
      <c r="C103" s="36" t="s">
        <v>482</v>
      </c>
      <c r="D103" s="36" t="s">
        <v>720</v>
      </c>
      <c r="E103" s="36" t="s">
        <v>960</v>
      </c>
      <c r="F103"/>
      <c r="G103" s="36"/>
      <c r="H103" s="36"/>
    </row>
    <row r="104" spans="1:8" ht="18" customHeight="1" x14ac:dyDescent="0.3">
      <c r="A104" s="59">
        <v>94</v>
      </c>
      <c r="B104" s="36" t="s">
        <v>275</v>
      </c>
      <c r="C104" s="36" t="s">
        <v>483</v>
      </c>
      <c r="D104" s="36" t="s">
        <v>721</v>
      </c>
      <c r="E104" s="36" t="s">
        <v>961</v>
      </c>
      <c r="F104"/>
      <c r="G104" s="36"/>
      <c r="H104" s="36"/>
    </row>
    <row r="105" spans="1:8" x14ac:dyDescent="0.3">
      <c r="A105" s="59">
        <v>95</v>
      </c>
      <c r="B105" s="36" t="s">
        <v>276</v>
      </c>
      <c r="C105" s="36" t="s">
        <v>276</v>
      </c>
      <c r="D105" s="36" t="s">
        <v>276</v>
      </c>
      <c r="E105" s="36" t="s">
        <v>962</v>
      </c>
      <c r="F105"/>
      <c r="G105" s="36"/>
      <c r="H105" s="36"/>
    </row>
    <row r="106" spans="1:8" x14ac:dyDescent="0.3">
      <c r="A106" s="59">
        <v>96</v>
      </c>
      <c r="B106" s="36" t="s">
        <v>277</v>
      </c>
      <c r="C106" s="36" t="s">
        <v>277</v>
      </c>
      <c r="D106" s="36" t="s">
        <v>277</v>
      </c>
      <c r="E106" s="36" t="s">
        <v>277</v>
      </c>
      <c r="F106"/>
      <c r="G106" s="36"/>
      <c r="H106" s="36"/>
    </row>
    <row r="107" spans="1:8" x14ac:dyDescent="0.3">
      <c r="A107" s="59">
        <v>97</v>
      </c>
      <c r="B107" s="96" t="s">
        <v>278</v>
      </c>
      <c r="C107" s="96" t="s">
        <v>484</v>
      </c>
      <c r="D107" s="244" t="s">
        <v>722</v>
      </c>
      <c r="E107" s="244" t="s">
        <v>963</v>
      </c>
      <c r="F107"/>
      <c r="G107" s="36"/>
      <c r="H107" s="36"/>
    </row>
    <row r="108" spans="1:8" x14ac:dyDescent="0.3">
      <c r="A108" s="59">
        <v>98</v>
      </c>
      <c r="B108" s="36" t="s">
        <v>280</v>
      </c>
      <c r="C108" s="36" t="s">
        <v>485</v>
      </c>
      <c r="D108" s="36" t="s">
        <v>723</v>
      </c>
      <c r="E108" s="36" t="s">
        <v>964</v>
      </c>
      <c r="F108"/>
      <c r="G108" s="36"/>
      <c r="H108" s="36"/>
    </row>
    <row r="109" spans="1:8" x14ac:dyDescent="0.3">
      <c r="A109" s="59">
        <v>99</v>
      </c>
      <c r="B109" s="36" t="s">
        <v>281</v>
      </c>
      <c r="C109" s="36" t="s">
        <v>486</v>
      </c>
      <c r="D109" s="36" t="s">
        <v>724</v>
      </c>
      <c r="E109" s="36" t="s">
        <v>965</v>
      </c>
      <c r="F109"/>
      <c r="G109" s="36"/>
      <c r="H109" s="36"/>
    </row>
    <row r="110" spans="1:8" x14ac:dyDescent="0.3">
      <c r="A110" s="59">
        <v>100</v>
      </c>
      <c r="B110" s="36" t="s">
        <v>282</v>
      </c>
      <c r="C110" s="36" t="s">
        <v>487</v>
      </c>
      <c r="D110" s="36" t="s">
        <v>725</v>
      </c>
      <c r="E110" s="36" t="s">
        <v>966</v>
      </c>
      <c r="F110"/>
      <c r="G110" s="36"/>
      <c r="H110" s="36"/>
    </row>
    <row r="111" spans="1:8" x14ac:dyDescent="0.3">
      <c r="A111" s="59">
        <v>101</v>
      </c>
      <c r="B111" s="36" t="s">
        <v>489</v>
      </c>
      <c r="C111" s="36" t="s">
        <v>488</v>
      </c>
      <c r="D111" s="36" t="s">
        <v>726</v>
      </c>
      <c r="E111" s="36" t="s">
        <v>967</v>
      </c>
      <c r="F111"/>
      <c r="G111" s="36"/>
      <c r="H111" s="36"/>
    </row>
    <row r="112" spans="1:8" x14ac:dyDescent="0.3">
      <c r="A112" s="59">
        <v>102</v>
      </c>
      <c r="B112" s="36" t="s">
        <v>283</v>
      </c>
      <c r="C112" s="36" t="s">
        <v>490</v>
      </c>
      <c r="D112" s="36" t="s">
        <v>727</v>
      </c>
      <c r="E112" s="36" t="s">
        <v>968</v>
      </c>
      <c r="F112"/>
      <c r="G112" s="36"/>
      <c r="H112" s="36"/>
    </row>
    <row r="113" spans="1:8" x14ac:dyDescent="0.3">
      <c r="A113" s="59">
        <v>103</v>
      </c>
      <c r="B113" s="36" t="s">
        <v>284</v>
      </c>
      <c r="C113" s="36" t="s">
        <v>491</v>
      </c>
      <c r="D113" s="36" t="s">
        <v>728</v>
      </c>
      <c r="E113" s="36" t="s">
        <v>969</v>
      </c>
      <c r="F113"/>
      <c r="G113" s="36"/>
      <c r="H113" s="36"/>
    </row>
    <row r="114" spans="1:8" x14ac:dyDescent="0.3">
      <c r="A114" s="59">
        <v>104</v>
      </c>
      <c r="B114" s="36" t="s">
        <v>285</v>
      </c>
      <c r="C114" s="36" t="s">
        <v>608</v>
      </c>
      <c r="D114" s="36" t="s">
        <v>729</v>
      </c>
      <c r="E114" s="36" t="s">
        <v>970</v>
      </c>
      <c r="F114"/>
      <c r="G114" s="36"/>
      <c r="H114" s="36"/>
    </row>
    <row r="115" spans="1:8" x14ac:dyDescent="0.3">
      <c r="A115" s="59">
        <v>105</v>
      </c>
      <c r="B115" s="36" t="s">
        <v>286</v>
      </c>
      <c r="C115" s="36" t="s">
        <v>492</v>
      </c>
      <c r="D115" s="36" t="s">
        <v>730</v>
      </c>
      <c r="E115" s="36" t="s">
        <v>971</v>
      </c>
      <c r="F115"/>
      <c r="G115" s="36"/>
      <c r="H115" s="36"/>
    </row>
    <row r="116" spans="1:8" x14ac:dyDescent="0.3">
      <c r="A116" s="59">
        <v>106</v>
      </c>
      <c r="B116" s="98" t="s">
        <v>287</v>
      </c>
      <c r="C116" s="98" t="s">
        <v>493</v>
      </c>
      <c r="D116" s="245" t="s">
        <v>731</v>
      </c>
      <c r="E116" s="249" t="s">
        <v>972</v>
      </c>
      <c r="F116"/>
      <c r="G116" s="36"/>
      <c r="H116" s="36"/>
    </row>
    <row r="117" spans="1:8" ht="26.4" x14ac:dyDescent="0.3">
      <c r="A117" s="59">
        <v>107</v>
      </c>
      <c r="B117" s="51" t="s">
        <v>288</v>
      </c>
      <c r="C117" s="36" t="s">
        <v>494</v>
      </c>
      <c r="D117" s="36" t="s">
        <v>732</v>
      </c>
      <c r="E117" s="250" t="s">
        <v>973</v>
      </c>
      <c r="F117"/>
      <c r="G117" s="36"/>
      <c r="H117" s="36"/>
    </row>
    <row r="118" spans="1:8" ht="52.8" x14ac:dyDescent="0.3">
      <c r="A118" s="59">
        <v>108</v>
      </c>
      <c r="B118" s="99" t="s">
        <v>289</v>
      </c>
      <c r="C118" s="36" t="s">
        <v>495</v>
      </c>
      <c r="D118" s="36" t="s">
        <v>733</v>
      </c>
      <c r="E118" s="250" t="s">
        <v>974</v>
      </c>
      <c r="F118"/>
      <c r="G118" s="36"/>
      <c r="H118" s="36"/>
    </row>
    <row r="119" spans="1:8" ht="52.8" x14ac:dyDescent="0.3">
      <c r="A119" s="59">
        <v>109</v>
      </c>
      <c r="B119" s="99" t="s">
        <v>290</v>
      </c>
      <c r="C119" s="36" t="s">
        <v>496</v>
      </c>
      <c r="D119" s="36" t="s">
        <v>734</v>
      </c>
      <c r="E119" s="250" t="s">
        <v>975</v>
      </c>
      <c r="F119"/>
      <c r="G119" s="36"/>
      <c r="H119" s="36"/>
    </row>
    <row r="120" spans="1:8" x14ac:dyDescent="0.3">
      <c r="A120" s="59">
        <v>110</v>
      </c>
      <c r="B120" s="36" t="s">
        <v>291</v>
      </c>
      <c r="C120" s="36" t="s">
        <v>1103</v>
      </c>
      <c r="D120" s="36" t="s">
        <v>735</v>
      </c>
      <c r="E120" s="250" t="s">
        <v>976</v>
      </c>
      <c r="F120"/>
      <c r="G120" s="36"/>
      <c r="H120" s="36"/>
    </row>
    <row r="121" spans="1:8" ht="39.6" x14ac:dyDescent="0.3">
      <c r="A121" s="59">
        <v>111</v>
      </c>
      <c r="B121" s="36" t="s">
        <v>292</v>
      </c>
      <c r="C121" s="36" t="s">
        <v>497</v>
      </c>
      <c r="D121" s="36" t="s">
        <v>736</v>
      </c>
      <c r="E121" s="250" t="s">
        <v>977</v>
      </c>
      <c r="F121"/>
      <c r="G121" s="36"/>
      <c r="H121" s="36"/>
    </row>
    <row r="122" spans="1:8" ht="26.4" x14ac:dyDescent="0.3">
      <c r="A122" s="59">
        <v>112</v>
      </c>
      <c r="B122" s="36" t="s">
        <v>293</v>
      </c>
      <c r="C122" s="36" t="s">
        <v>498</v>
      </c>
      <c r="D122" s="36" t="s">
        <v>737</v>
      </c>
      <c r="E122" s="250" t="s">
        <v>978</v>
      </c>
      <c r="F122"/>
      <c r="G122" s="36"/>
      <c r="H122" s="36"/>
    </row>
    <row r="123" spans="1:8" x14ac:dyDescent="0.3">
      <c r="A123" s="59">
        <v>113</v>
      </c>
      <c r="B123" s="98" t="s">
        <v>294</v>
      </c>
      <c r="C123" s="98" t="s">
        <v>499</v>
      </c>
      <c r="D123" s="245" t="s">
        <v>738</v>
      </c>
      <c r="E123" s="249" t="s">
        <v>979</v>
      </c>
      <c r="F123"/>
      <c r="G123" s="36"/>
      <c r="H123" s="36"/>
    </row>
    <row r="124" spans="1:8" ht="26.4" x14ac:dyDescent="0.3">
      <c r="A124" s="59">
        <v>114</v>
      </c>
      <c r="B124" s="36" t="s">
        <v>295</v>
      </c>
      <c r="C124" s="36" t="s">
        <v>500</v>
      </c>
      <c r="D124" s="36" t="s">
        <v>739</v>
      </c>
      <c r="E124" s="36" t="s">
        <v>980</v>
      </c>
      <c r="F124"/>
      <c r="G124" s="36"/>
      <c r="H124" s="36"/>
    </row>
    <row r="125" spans="1:8" ht="26.4" x14ac:dyDescent="0.3">
      <c r="A125" s="59">
        <v>115</v>
      </c>
      <c r="B125" s="36" t="s">
        <v>296</v>
      </c>
      <c r="C125" s="36" t="s">
        <v>501</v>
      </c>
      <c r="D125" s="36" t="s">
        <v>740</v>
      </c>
      <c r="E125" s="36" t="s">
        <v>981</v>
      </c>
      <c r="F125"/>
      <c r="G125" s="36"/>
      <c r="H125" s="36"/>
    </row>
    <row r="126" spans="1:8" x14ac:dyDescent="0.3">
      <c r="A126" s="59">
        <v>116</v>
      </c>
      <c r="B126" s="98" t="s">
        <v>297</v>
      </c>
      <c r="C126" s="98" t="s">
        <v>502</v>
      </c>
      <c r="D126" s="245" t="s">
        <v>741</v>
      </c>
      <c r="E126" s="249" t="s">
        <v>982</v>
      </c>
      <c r="F126"/>
      <c r="G126" s="36"/>
      <c r="H126" s="36"/>
    </row>
    <row r="127" spans="1:8" ht="26.4" x14ac:dyDescent="0.3">
      <c r="A127" s="59">
        <v>117</v>
      </c>
      <c r="B127" s="36" t="s">
        <v>298</v>
      </c>
      <c r="C127" s="36" t="s">
        <v>1104</v>
      </c>
      <c r="D127" s="36" t="s">
        <v>742</v>
      </c>
      <c r="E127" s="36" t="s">
        <v>983</v>
      </c>
      <c r="F127"/>
      <c r="G127" s="36"/>
      <c r="H127" s="36"/>
    </row>
    <row r="128" spans="1:8" ht="26.4" x14ac:dyDescent="0.3">
      <c r="A128" s="59">
        <v>118</v>
      </c>
      <c r="B128" s="36" t="s">
        <v>299</v>
      </c>
      <c r="C128" s="36" t="s">
        <v>503</v>
      </c>
      <c r="D128" s="36" t="s">
        <v>743</v>
      </c>
      <c r="E128" s="36" t="s">
        <v>984</v>
      </c>
      <c r="F128"/>
      <c r="G128" s="36"/>
      <c r="H128" s="36"/>
    </row>
    <row r="129" spans="1:8" x14ac:dyDescent="0.3">
      <c r="A129" s="59">
        <v>119</v>
      </c>
      <c r="B129" s="36" t="s">
        <v>300</v>
      </c>
      <c r="C129" s="36" t="s">
        <v>504</v>
      </c>
      <c r="D129" s="36" t="s">
        <v>744</v>
      </c>
      <c r="E129" s="36" t="s">
        <v>985</v>
      </c>
      <c r="F129"/>
      <c r="G129" s="36"/>
      <c r="H129" s="36"/>
    </row>
    <row r="130" spans="1:8" x14ac:dyDescent="0.3">
      <c r="A130" s="59">
        <v>120</v>
      </c>
      <c r="B130" s="36" t="s">
        <v>301</v>
      </c>
      <c r="C130" s="36" t="s">
        <v>505</v>
      </c>
      <c r="D130" s="36" t="s">
        <v>745</v>
      </c>
      <c r="E130" s="36" t="s">
        <v>986</v>
      </c>
      <c r="F130"/>
      <c r="G130" s="36"/>
      <c r="H130" s="36"/>
    </row>
    <row r="131" spans="1:8" ht="39.6" x14ac:dyDescent="0.3">
      <c r="A131" s="59">
        <v>121</v>
      </c>
      <c r="B131" s="36" t="s">
        <v>302</v>
      </c>
      <c r="C131" s="36" t="s">
        <v>506</v>
      </c>
      <c r="D131" s="36" t="s">
        <v>746</v>
      </c>
      <c r="E131" s="36" t="s">
        <v>987</v>
      </c>
      <c r="F131"/>
      <c r="G131" s="36"/>
      <c r="H131" s="36"/>
    </row>
    <row r="132" spans="1:8" x14ac:dyDescent="0.3">
      <c r="A132" s="59">
        <v>122</v>
      </c>
      <c r="B132" s="98" t="s">
        <v>303</v>
      </c>
      <c r="C132" s="98" t="s">
        <v>507</v>
      </c>
      <c r="D132" s="245" t="s">
        <v>747</v>
      </c>
      <c r="E132" s="249" t="s">
        <v>988</v>
      </c>
      <c r="F132"/>
      <c r="G132" s="36"/>
      <c r="H132" s="36"/>
    </row>
    <row r="133" spans="1:8" ht="52.8" x14ac:dyDescent="0.3">
      <c r="A133" s="59">
        <v>123</v>
      </c>
      <c r="B133" s="36" t="s">
        <v>304</v>
      </c>
      <c r="C133" s="36" t="s">
        <v>508</v>
      </c>
      <c r="D133" s="36" t="s">
        <v>748</v>
      </c>
      <c r="E133" s="36" t="s">
        <v>989</v>
      </c>
      <c r="F133"/>
      <c r="G133" s="36"/>
      <c r="H133" s="36"/>
    </row>
    <row r="134" spans="1:8" ht="26.4" x14ac:dyDescent="0.3">
      <c r="A134" s="59">
        <v>124</v>
      </c>
      <c r="B134" s="36" t="s">
        <v>305</v>
      </c>
      <c r="C134" s="36" t="s">
        <v>1102</v>
      </c>
      <c r="D134" s="36" t="s">
        <v>749</v>
      </c>
      <c r="E134" s="36" t="s">
        <v>990</v>
      </c>
      <c r="F134"/>
      <c r="G134" s="36"/>
      <c r="H134" s="36"/>
    </row>
    <row r="135" spans="1:8" ht="26.4" x14ac:dyDescent="0.3">
      <c r="A135" s="59">
        <v>125</v>
      </c>
      <c r="B135" s="36" t="s">
        <v>306</v>
      </c>
      <c r="C135" s="36" t="s">
        <v>509</v>
      </c>
      <c r="D135" s="36" t="s">
        <v>750</v>
      </c>
      <c r="E135" s="36" t="s">
        <v>991</v>
      </c>
      <c r="F135"/>
      <c r="G135" s="36"/>
      <c r="H135" s="36"/>
    </row>
    <row r="136" spans="1:8" ht="39.6" x14ac:dyDescent="0.3">
      <c r="A136" s="59">
        <v>126</v>
      </c>
      <c r="B136" s="36" t="s">
        <v>307</v>
      </c>
      <c r="C136" s="36" t="s">
        <v>510</v>
      </c>
      <c r="D136" s="36" t="s">
        <v>751</v>
      </c>
      <c r="E136" s="36" t="s">
        <v>992</v>
      </c>
      <c r="F136"/>
      <c r="G136" s="36"/>
      <c r="H136" s="36"/>
    </row>
    <row r="137" spans="1:8" x14ac:dyDescent="0.3">
      <c r="A137" s="59">
        <v>127</v>
      </c>
      <c r="B137" s="98" t="s">
        <v>308</v>
      </c>
      <c r="C137" s="98" t="s">
        <v>511</v>
      </c>
      <c r="D137" s="245" t="s">
        <v>752</v>
      </c>
      <c r="E137" s="249" t="s">
        <v>993</v>
      </c>
      <c r="F137"/>
      <c r="G137" s="36"/>
      <c r="H137" s="36"/>
    </row>
    <row r="138" spans="1:8" ht="39.6" x14ac:dyDescent="0.3">
      <c r="A138" s="59">
        <v>128</v>
      </c>
      <c r="B138" s="36" t="s">
        <v>309</v>
      </c>
      <c r="C138" s="36" t="s">
        <v>512</v>
      </c>
      <c r="D138" s="36" t="s">
        <v>753</v>
      </c>
      <c r="E138" s="36" t="s">
        <v>994</v>
      </c>
      <c r="F138"/>
      <c r="G138" s="36"/>
      <c r="H138" s="36"/>
    </row>
    <row r="139" spans="1:8" x14ac:dyDescent="0.3">
      <c r="A139" s="59">
        <v>129</v>
      </c>
      <c r="B139" s="98" t="s">
        <v>514</v>
      </c>
      <c r="C139" s="98" t="s">
        <v>513</v>
      </c>
      <c r="D139" s="245" t="s">
        <v>754</v>
      </c>
      <c r="E139" s="249" t="s">
        <v>995</v>
      </c>
      <c r="F139"/>
      <c r="G139" s="36"/>
      <c r="H139" s="36"/>
    </row>
    <row r="140" spans="1:8" ht="26.4" x14ac:dyDescent="0.3">
      <c r="A140" s="59">
        <v>130</v>
      </c>
      <c r="B140" s="36" t="s">
        <v>310</v>
      </c>
      <c r="C140" s="36" t="s">
        <v>515</v>
      </c>
      <c r="D140" s="36" t="s">
        <v>755</v>
      </c>
      <c r="E140" s="36" t="s">
        <v>996</v>
      </c>
      <c r="F140"/>
      <c r="G140" s="36"/>
      <c r="H140" s="36"/>
    </row>
    <row r="141" spans="1:8" ht="26.4" x14ac:dyDescent="0.3">
      <c r="A141" s="59">
        <v>131</v>
      </c>
      <c r="B141" s="36" t="s">
        <v>311</v>
      </c>
      <c r="C141" s="36" t="s">
        <v>516</v>
      </c>
      <c r="D141" s="36" t="s">
        <v>756</v>
      </c>
      <c r="E141" s="36" t="s">
        <v>997</v>
      </c>
      <c r="F141"/>
      <c r="G141" s="36"/>
      <c r="H141" s="36"/>
    </row>
    <row r="142" spans="1:8" ht="26.4" x14ac:dyDescent="0.3">
      <c r="A142" s="59">
        <v>132</v>
      </c>
      <c r="B142" s="36" t="s">
        <v>312</v>
      </c>
      <c r="C142" s="36" t="s">
        <v>517</v>
      </c>
      <c r="D142" s="36" t="s">
        <v>757</v>
      </c>
      <c r="E142" s="36" t="s">
        <v>998</v>
      </c>
      <c r="F142"/>
      <c r="G142" s="36"/>
      <c r="H142" s="36"/>
    </row>
    <row r="143" spans="1:8" ht="39.6" x14ac:dyDescent="0.3">
      <c r="A143" s="59">
        <v>133</v>
      </c>
      <c r="B143" s="36" t="s">
        <v>313</v>
      </c>
      <c r="C143" s="36" t="s">
        <v>518</v>
      </c>
      <c r="D143" s="36" t="s">
        <v>758</v>
      </c>
      <c r="E143" s="36" t="s">
        <v>999</v>
      </c>
      <c r="F143"/>
      <c r="G143" s="36"/>
      <c r="H143" s="36"/>
    </row>
    <row r="144" spans="1:8" x14ac:dyDescent="0.3">
      <c r="A144" s="59">
        <v>134</v>
      </c>
      <c r="B144" s="98" t="s">
        <v>314</v>
      </c>
      <c r="C144" s="98" t="s">
        <v>427</v>
      </c>
      <c r="D144" s="245" t="s">
        <v>674</v>
      </c>
      <c r="E144" s="249" t="s">
        <v>1000</v>
      </c>
      <c r="F144"/>
      <c r="G144" s="36"/>
      <c r="H144" s="36"/>
    </row>
    <row r="145" spans="1:8" ht="26.4" x14ac:dyDescent="0.3">
      <c r="A145" s="59">
        <v>135</v>
      </c>
      <c r="B145" s="36" t="s">
        <v>315</v>
      </c>
      <c r="C145" s="36" t="s">
        <v>1106</v>
      </c>
      <c r="D145" s="36" t="s">
        <v>759</v>
      </c>
      <c r="E145" s="36" t="s">
        <v>1001</v>
      </c>
      <c r="F145"/>
      <c r="G145" s="36"/>
      <c r="H145" s="36"/>
    </row>
    <row r="146" spans="1:8" ht="52.8" x14ac:dyDescent="0.3">
      <c r="A146" s="59">
        <v>136</v>
      </c>
      <c r="B146" s="36" t="s">
        <v>316</v>
      </c>
      <c r="C146" s="36" t="s">
        <v>519</v>
      </c>
      <c r="D146" s="36" t="s">
        <v>760</v>
      </c>
      <c r="E146" s="36" t="s">
        <v>1002</v>
      </c>
      <c r="F146"/>
      <c r="G146" s="36"/>
      <c r="H146" s="36"/>
    </row>
    <row r="147" spans="1:8" ht="39.6" x14ac:dyDescent="0.3">
      <c r="A147" s="59">
        <v>137</v>
      </c>
      <c r="B147" s="36" t="s">
        <v>317</v>
      </c>
      <c r="C147" s="36" t="s">
        <v>1105</v>
      </c>
      <c r="D147" s="36" t="s">
        <v>761</v>
      </c>
      <c r="E147" s="36" t="s">
        <v>1003</v>
      </c>
      <c r="F147"/>
      <c r="G147" s="36"/>
      <c r="H147" s="36"/>
    </row>
    <row r="148" spans="1:8" ht="26.4" x14ac:dyDescent="0.3">
      <c r="A148" s="59">
        <v>138</v>
      </c>
      <c r="B148" s="36" t="s">
        <v>318</v>
      </c>
      <c r="C148" s="36" t="s">
        <v>520</v>
      </c>
      <c r="D148" s="87" t="s">
        <v>762</v>
      </c>
      <c r="E148" s="36" t="s">
        <v>1004</v>
      </c>
      <c r="F148"/>
      <c r="G148" s="36"/>
      <c r="H148" s="36"/>
    </row>
    <row r="149" spans="1:8" x14ac:dyDescent="0.3">
      <c r="A149" s="59">
        <v>139</v>
      </c>
      <c r="B149" s="98" t="s">
        <v>227</v>
      </c>
      <c r="C149" s="98" t="s">
        <v>426</v>
      </c>
      <c r="D149" s="245" t="s">
        <v>672</v>
      </c>
      <c r="E149" s="249" t="s">
        <v>909</v>
      </c>
      <c r="F149"/>
      <c r="G149" s="36"/>
      <c r="H149" s="36"/>
    </row>
    <row r="150" spans="1:8" ht="26.4" x14ac:dyDescent="0.3">
      <c r="A150" s="59">
        <v>140</v>
      </c>
      <c r="B150" s="36" t="s">
        <v>319</v>
      </c>
      <c r="C150" s="36" t="s">
        <v>521</v>
      </c>
      <c r="D150" s="36" t="s">
        <v>763</v>
      </c>
      <c r="E150" s="36" t="s">
        <v>1005</v>
      </c>
      <c r="F150"/>
      <c r="G150" s="36"/>
      <c r="H150" s="36"/>
    </row>
    <row r="151" spans="1:8" x14ac:dyDescent="0.3">
      <c r="A151" s="59">
        <v>141</v>
      </c>
      <c r="B151" s="36" t="s">
        <v>320</v>
      </c>
      <c r="C151" s="36" t="s">
        <v>522</v>
      </c>
      <c r="D151" s="36" t="s">
        <v>764</v>
      </c>
      <c r="E151" s="36" t="s">
        <v>1006</v>
      </c>
      <c r="F151"/>
      <c r="G151" s="36"/>
      <c r="H151" s="36"/>
    </row>
    <row r="152" spans="1:8" x14ac:dyDescent="0.3">
      <c r="A152" s="59">
        <v>142</v>
      </c>
      <c r="B152" s="36" t="s">
        <v>321</v>
      </c>
      <c r="C152" s="36" t="s">
        <v>523</v>
      </c>
      <c r="D152" s="36" t="s">
        <v>765</v>
      </c>
      <c r="E152" s="36" t="s">
        <v>1007</v>
      </c>
      <c r="F152"/>
      <c r="G152" s="36"/>
      <c r="H152" s="36"/>
    </row>
    <row r="153" spans="1:8" ht="52.5" customHeight="1" x14ac:dyDescent="0.3">
      <c r="A153" s="59">
        <v>143</v>
      </c>
      <c r="B153" s="36" t="s">
        <v>322</v>
      </c>
      <c r="C153" s="36" t="s">
        <v>524</v>
      </c>
      <c r="D153" s="36" t="s">
        <v>766</v>
      </c>
      <c r="E153" s="36" t="s">
        <v>1008</v>
      </c>
      <c r="F153"/>
      <c r="G153" s="36"/>
      <c r="H153" s="36"/>
    </row>
    <row r="154" spans="1:8" ht="26.4" x14ac:dyDescent="0.3">
      <c r="A154" s="59">
        <v>144</v>
      </c>
      <c r="B154" s="36" t="s">
        <v>323</v>
      </c>
      <c r="C154" s="36" t="s">
        <v>525</v>
      </c>
      <c r="D154" s="36" t="s">
        <v>767</v>
      </c>
      <c r="E154" s="36" t="s">
        <v>1009</v>
      </c>
      <c r="F154"/>
      <c r="G154" s="36"/>
      <c r="H154" s="36"/>
    </row>
    <row r="155" spans="1:8" ht="26.4" x14ac:dyDescent="0.3">
      <c r="A155" s="59">
        <v>145</v>
      </c>
      <c r="B155" s="36" t="s">
        <v>324</v>
      </c>
      <c r="C155" s="36" t="s">
        <v>526</v>
      </c>
      <c r="D155" s="36" t="s">
        <v>768</v>
      </c>
      <c r="E155" s="36" t="s">
        <v>1010</v>
      </c>
      <c r="F155"/>
      <c r="G155" s="36"/>
      <c r="H155" s="36"/>
    </row>
    <row r="156" spans="1:8" ht="26.4" x14ac:dyDescent="0.3">
      <c r="A156" s="59">
        <v>146</v>
      </c>
      <c r="B156" s="36" t="s">
        <v>325</v>
      </c>
      <c r="C156" s="36" t="s">
        <v>527</v>
      </c>
      <c r="D156" s="36" t="s">
        <v>769</v>
      </c>
      <c r="E156" s="36" t="s">
        <v>1011</v>
      </c>
      <c r="F156"/>
      <c r="G156" s="36"/>
      <c r="H156" s="36"/>
    </row>
    <row r="157" spans="1:8" ht="26.4" x14ac:dyDescent="0.3">
      <c r="A157" s="59">
        <v>147</v>
      </c>
      <c r="B157" s="36" t="s">
        <v>326</v>
      </c>
      <c r="C157" s="36" t="s">
        <v>528</v>
      </c>
      <c r="D157" s="36" t="s">
        <v>770</v>
      </c>
      <c r="E157" s="36" t="s">
        <v>1012</v>
      </c>
      <c r="F157"/>
      <c r="G157" s="36"/>
      <c r="H157" s="36"/>
    </row>
    <row r="158" spans="1:8" ht="26.4" x14ac:dyDescent="0.3">
      <c r="A158" s="59">
        <v>148</v>
      </c>
      <c r="B158" s="36" t="s">
        <v>327</v>
      </c>
      <c r="C158" s="36" t="s">
        <v>529</v>
      </c>
      <c r="D158" s="36" t="s">
        <v>771</v>
      </c>
      <c r="E158" s="36" t="s">
        <v>1013</v>
      </c>
      <c r="F158"/>
      <c r="G158" s="36"/>
      <c r="H158" s="36"/>
    </row>
    <row r="159" spans="1:8" ht="39.6" x14ac:dyDescent="0.3">
      <c r="A159" s="59">
        <v>149</v>
      </c>
      <c r="B159" s="36" t="s">
        <v>328</v>
      </c>
      <c r="C159" s="36" t="s">
        <v>530</v>
      </c>
      <c r="D159" s="36" t="s">
        <v>772</v>
      </c>
      <c r="E159" s="36" t="s">
        <v>1014</v>
      </c>
      <c r="F159"/>
      <c r="G159" s="36"/>
      <c r="H159" s="36"/>
    </row>
    <row r="160" spans="1:8" ht="39.6" x14ac:dyDescent="0.3">
      <c r="A160" s="59">
        <v>150</v>
      </c>
      <c r="B160" s="36" t="s">
        <v>329</v>
      </c>
      <c r="C160" s="36" t="s">
        <v>531</v>
      </c>
      <c r="D160" s="36" t="s">
        <v>773</v>
      </c>
      <c r="E160" s="36" t="s">
        <v>1015</v>
      </c>
      <c r="F160"/>
      <c r="G160" s="36"/>
      <c r="H160" s="36"/>
    </row>
    <row r="161" spans="1:8" ht="39.6" x14ac:dyDescent="0.3">
      <c r="A161" s="59" t="s">
        <v>862</v>
      </c>
      <c r="B161" s="36" t="s">
        <v>863</v>
      </c>
      <c r="C161" s="36" t="s">
        <v>864</v>
      </c>
      <c r="D161" s="36"/>
      <c r="E161" s="36" t="s">
        <v>1016</v>
      </c>
      <c r="F161"/>
      <c r="G161" s="36"/>
      <c r="H161" s="36"/>
    </row>
    <row r="162" spans="1:8" x14ac:dyDescent="0.3">
      <c r="A162" s="59">
        <v>151</v>
      </c>
      <c r="B162" s="98" t="s">
        <v>330</v>
      </c>
      <c r="C162" s="98" t="s">
        <v>532</v>
      </c>
      <c r="D162" s="245" t="s">
        <v>774</v>
      </c>
      <c r="E162" s="249" t="s">
        <v>1017</v>
      </c>
      <c r="F162"/>
      <c r="G162" s="36"/>
      <c r="H162" s="36"/>
    </row>
    <row r="163" spans="1:8" ht="26.4" x14ac:dyDescent="0.3">
      <c r="A163" s="59">
        <v>152</v>
      </c>
      <c r="B163" s="36" t="s">
        <v>331</v>
      </c>
      <c r="C163" s="36" t="s">
        <v>533</v>
      </c>
      <c r="D163" s="36" t="s">
        <v>775</v>
      </c>
      <c r="E163" s="36" t="s">
        <v>1018</v>
      </c>
      <c r="F163"/>
      <c r="G163" s="36"/>
      <c r="H163" s="36"/>
    </row>
    <row r="164" spans="1:8" x14ac:dyDescent="0.3">
      <c r="A164" s="59">
        <v>153</v>
      </c>
      <c r="B164" s="36" t="s">
        <v>332</v>
      </c>
      <c r="C164" s="36" t="s">
        <v>534</v>
      </c>
      <c r="D164" s="36" t="s">
        <v>776</v>
      </c>
      <c r="E164" s="36" t="s">
        <v>1019</v>
      </c>
      <c r="F164"/>
      <c r="G164" s="36"/>
      <c r="H164" s="36"/>
    </row>
    <row r="165" spans="1:8" x14ac:dyDescent="0.3">
      <c r="A165" s="59">
        <v>154</v>
      </c>
      <c r="B165" s="36" t="s">
        <v>333</v>
      </c>
      <c r="C165" s="36" t="s">
        <v>535</v>
      </c>
      <c r="D165" s="36" t="s">
        <v>777</v>
      </c>
      <c r="E165" s="36" t="s">
        <v>1020</v>
      </c>
      <c r="F165"/>
      <c r="G165" s="36"/>
      <c r="H165" s="36"/>
    </row>
    <row r="166" spans="1:8" ht="26.4" x14ac:dyDescent="0.3">
      <c r="A166" s="59">
        <v>155</v>
      </c>
      <c r="B166" s="36" t="s">
        <v>334</v>
      </c>
      <c r="C166" s="36" t="s">
        <v>536</v>
      </c>
      <c r="D166" s="36" t="s">
        <v>778</v>
      </c>
      <c r="E166" s="36" t="s">
        <v>1021</v>
      </c>
      <c r="F166"/>
      <c r="G166" s="36"/>
      <c r="H166" s="36"/>
    </row>
    <row r="167" spans="1:8" ht="26.4" x14ac:dyDescent="0.3">
      <c r="A167" s="59">
        <v>156</v>
      </c>
      <c r="B167" s="36" t="s">
        <v>335</v>
      </c>
      <c r="C167" s="36" t="s">
        <v>537</v>
      </c>
      <c r="D167" s="36" t="s">
        <v>779</v>
      </c>
      <c r="E167" s="36" t="s">
        <v>1022</v>
      </c>
      <c r="F167"/>
      <c r="G167" s="36"/>
      <c r="H167" s="36"/>
    </row>
    <row r="168" spans="1:8" ht="26.4" x14ac:dyDescent="0.3">
      <c r="A168" s="59">
        <v>157</v>
      </c>
      <c r="B168" s="36" t="s">
        <v>336</v>
      </c>
      <c r="C168" s="36" t="s">
        <v>538</v>
      </c>
      <c r="D168" s="36" t="s">
        <v>780</v>
      </c>
      <c r="E168" s="36" t="s">
        <v>1023</v>
      </c>
      <c r="F168"/>
      <c r="G168" s="36"/>
      <c r="H168" s="36"/>
    </row>
    <row r="169" spans="1:8" ht="39.6" x14ac:dyDescent="0.3">
      <c r="A169" s="59">
        <v>158</v>
      </c>
      <c r="B169" s="36" t="s">
        <v>337</v>
      </c>
      <c r="C169" s="36" t="s">
        <v>539</v>
      </c>
      <c r="D169" s="36" t="s">
        <v>781</v>
      </c>
      <c r="E169" s="36" t="s">
        <v>1024</v>
      </c>
      <c r="F169"/>
      <c r="G169" s="36"/>
      <c r="H169" s="36"/>
    </row>
    <row r="170" spans="1:8" ht="26.4" x14ac:dyDescent="0.3">
      <c r="A170" s="59">
        <v>159</v>
      </c>
      <c r="B170" s="36" t="s">
        <v>338</v>
      </c>
      <c r="C170" s="36" t="s">
        <v>540</v>
      </c>
      <c r="D170" s="36" t="s">
        <v>782</v>
      </c>
      <c r="E170" s="36" t="s">
        <v>1025</v>
      </c>
      <c r="F170"/>
      <c r="G170" s="36"/>
      <c r="H170" s="36"/>
    </row>
    <row r="171" spans="1:8" ht="26.4" x14ac:dyDescent="0.3">
      <c r="A171" s="59">
        <v>160</v>
      </c>
      <c r="B171" s="36" t="s">
        <v>339</v>
      </c>
      <c r="C171" s="36" t="s">
        <v>541</v>
      </c>
      <c r="D171" s="36" t="s">
        <v>783</v>
      </c>
      <c r="E171" s="36" t="s">
        <v>1026</v>
      </c>
      <c r="F171"/>
      <c r="G171" s="36"/>
      <c r="H171" s="36"/>
    </row>
    <row r="172" spans="1:8" ht="26.4" x14ac:dyDescent="0.3">
      <c r="A172" s="59">
        <v>161</v>
      </c>
      <c r="B172" s="36" t="s">
        <v>340</v>
      </c>
      <c r="C172" s="36" t="s">
        <v>542</v>
      </c>
      <c r="D172" s="36" t="s">
        <v>784</v>
      </c>
      <c r="E172" s="36" t="s">
        <v>1027</v>
      </c>
      <c r="F172"/>
      <c r="G172" s="36"/>
      <c r="H172" s="36"/>
    </row>
    <row r="173" spans="1:8" ht="26.4" x14ac:dyDescent="0.3">
      <c r="A173" s="59">
        <v>162</v>
      </c>
      <c r="B173" s="36" t="s">
        <v>341</v>
      </c>
      <c r="C173" s="36" t="s">
        <v>543</v>
      </c>
      <c r="D173" s="36" t="s">
        <v>785</v>
      </c>
      <c r="E173" s="36" t="s">
        <v>1028</v>
      </c>
      <c r="F173"/>
      <c r="G173" s="36"/>
      <c r="H173" s="36"/>
    </row>
    <row r="174" spans="1:8" ht="39.6" x14ac:dyDescent="0.3">
      <c r="A174" s="59">
        <v>163</v>
      </c>
      <c r="B174" s="36" t="s">
        <v>342</v>
      </c>
      <c r="C174" s="36" t="s">
        <v>544</v>
      </c>
      <c r="D174" s="36" t="s">
        <v>786</v>
      </c>
      <c r="E174" s="36" t="s">
        <v>1029</v>
      </c>
      <c r="F174"/>
      <c r="G174" s="36"/>
      <c r="H174" s="36"/>
    </row>
    <row r="175" spans="1:8" ht="26.4" x14ac:dyDescent="0.3">
      <c r="A175" s="59">
        <v>164</v>
      </c>
      <c r="B175" s="36" t="s">
        <v>343</v>
      </c>
      <c r="C175" s="36" t="s">
        <v>545</v>
      </c>
      <c r="D175" s="36" t="s">
        <v>787</v>
      </c>
      <c r="E175" s="36" t="s">
        <v>1030</v>
      </c>
      <c r="F175"/>
      <c r="G175" s="36"/>
      <c r="H175" s="36"/>
    </row>
    <row r="176" spans="1:8" ht="26.4" x14ac:dyDescent="0.3">
      <c r="A176" s="59">
        <v>165</v>
      </c>
      <c r="B176" s="36" t="s">
        <v>344</v>
      </c>
      <c r="C176" s="36" t="s">
        <v>546</v>
      </c>
      <c r="D176" s="36" t="s">
        <v>788</v>
      </c>
      <c r="E176" s="36" t="s">
        <v>1031</v>
      </c>
      <c r="F176"/>
      <c r="G176" s="36"/>
      <c r="H176" s="36"/>
    </row>
    <row r="177" spans="1:8" ht="26.4" x14ac:dyDescent="0.3">
      <c r="A177" s="59">
        <v>166</v>
      </c>
      <c r="B177" s="36" t="s">
        <v>345</v>
      </c>
      <c r="C177" s="36" t="s">
        <v>547</v>
      </c>
      <c r="D177" s="87" t="s">
        <v>789</v>
      </c>
      <c r="E177" s="36" t="s">
        <v>1032</v>
      </c>
      <c r="F177"/>
      <c r="G177" s="36"/>
      <c r="H177" s="36"/>
    </row>
    <row r="178" spans="1:8" x14ac:dyDescent="0.3">
      <c r="A178" s="59">
        <v>167</v>
      </c>
      <c r="B178" s="98" t="s">
        <v>346</v>
      </c>
      <c r="C178" s="98" t="s">
        <v>548</v>
      </c>
      <c r="D178" s="245" t="s">
        <v>790</v>
      </c>
      <c r="E178" s="249" t="s">
        <v>1033</v>
      </c>
      <c r="F178"/>
      <c r="G178" s="36"/>
      <c r="H178" s="36"/>
    </row>
    <row r="179" spans="1:8" ht="39.6" x14ac:dyDescent="0.3">
      <c r="A179" s="59">
        <v>168</v>
      </c>
      <c r="B179" s="36" t="s">
        <v>347</v>
      </c>
      <c r="C179" s="36" t="s">
        <v>549</v>
      </c>
      <c r="D179" s="36" t="s">
        <v>791</v>
      </c>
      <c r="E179" s="36" t="s">
        <v>1034</v>
      </c>
      <c r="F179"/>
      <c r="G179" s="36"/>
      <c r="H179" s="36"/>
    </row>
    <row r="180" spans="1:8" ht="39.6" x14ac:dyDescent="0.3">
      <c r="A180" s="59">
        <v>169</v>
      </c>
      <c r="B180" s="36" t="s">
        <v>348</v>
      </c>
      <c r="C180" s="36" t="s">
        <v>550</v>
      </c>
      <c r="D180" s="36" t="s">
        <v>792</v>
      </c>
      <c r="E180" s="36" t="s">
        <v>1035</v>
      </c>
      <c r="F180"/>
      <c r="G180" s="36"/>
      <c r="H180" s="36"/>
    </row>
    <row r="181" spans="1:8" x14ac:dyDescent="0.3">
      <c r="A181" s="59">
        <v>170</v>
      </c>
      <c r="B181" s="36" t="s">
        <v>349</v>
      </c>
      <c r="C181" s="36" t="s">
        <v>551</v>
      </c>
      <c r="D181" s="36" t="s">
        <v>793</v>
      </c>
      <c r="E181" s="36" t="s">
        <v>1036</v>
      </c>
      <c r="F181"/>
      <c r="G181" s="36"/>
      <c r="H181" s="36"/>
    </row>
    <row r="182" spans="1:8" ht="26.4" x14ac:dyDescent="0.3">
      <c r="A182" s="59">
        <v>171</v>
      </c>
      <c r="B182" s="36" t="s">
        <v>350</v>
      </c>
      <c r="C182" s="36" t="s">
        <v>552</v>
      </c>
      <c r="D182" s="36" t="s">
        <v>794</v>
      </c>
      <c r="E182" s="36" t="s">
        <v>1037</v>
      </c>
      <c r="F182"/>
      <c r="G182" s="36"/>
      <c r="H182" s="36"/>
    </row>
    <row r="183" spans="1:8" ht="26.4" x14ac:dyDescent="0.3">
      <c r="A183" s="59">
        <v>172</v>
      </c>
      <c r="B183" s="36" t="s">
        <v>351</v>
      </c>
      <c r="C183" s="36" t="s">
        <v>553</v>
      </c>
      <c r="D183" s="36" t="s">
        <v>795</v>
      </c>
      <c r="E183" s="36" t="s">
        <v>1038</v>
      </c>
      <c r="F183"/>
      <c r="G183" s="36"/>
      <c r="H183" s="36"/>
    </row>
    <row r="184" spans="1:8" x14ac:dyDescent="0.3">
      <c r="A184" s="59">
        <v>173</v>
      </c>
      <c r="B184" s="98" t="s">
        <v>352</v>
      </c>
      <c r="C184" s="98" t="s">
        <v>554</v>
      </c>
      <c r="D184" s="245" t="s">
        <v>796</v>
      </c>
      <c r="E184" s="249" t="s">
        <v>1039</v>
      </c>
      <c r="F184"/>
      <c r="G184" s="36"/>
      <c r="H184" s="36"/>
    </row>
    <row r="185" spans="1:8" ht="26.4" x14ac:dyDescent="0.3">
      <c r="A185" s="59">
        <v>174</v>
      </c>
      <c r="B185" s="36" t="s">
        <v>353</v>
      </c>
      <c r="C185" s="36" t="s">
        <v>555</v>
      </c>
      <c r="D185" s="36" t="s">
        <v>797</v>
      </c>
      <c r="E185" s="36" t="s">
        <v>1040</v>
      </c>
      <c r="F185"/>
      <c r="G185" s="36"/>
      <c r="H185" s="36"/>
    </row>
    <row r="186" spans="1:8" ht="26.4" x14ac:dyDescent="0.3">
      <c r="A186" s="59">
        <v>175</v>
      </c>
      <c r="B186" s="36" t="s">
        <v>354</v>
      </c>
      <c r="C186" s="36" t="s">
        <v>556</v>
      </c>
      <c r="D186" s="36" t="s">
        <v>798</v>
      </c>
      <c r="E186" s="36" t="s">
        <v>1041</v>
      </c>
      <c r="F186"/>
      <c r="G186" s="36"/>
      <c r="H186" s="36"/>
    </row>
    <row r="187" spans="1:8" ht="39.6" x14ac:dyDescent="0.3">
      <c r="A187" s="59">
        <v>176</v>
      </c>
      <c r="B187" s="36" t="s">
        <v>355</v>
      </c>
      <c r="C187" s="36" t="s">
        <v>557</v>
      </c>
      <c r="D187" s="36" t="s">
        <v>799</v>
      </c>
      <c r="E187" s="36" t="s">
        <v>1042</v>
      </c>
      <c r="F187"/>
      <c r="G187" s="36"/>
      <c r="H187" s="36"/>
    </row>
    <row r="188" spans="1:8" ht="26.4" x14ac:dyDescent="0.3">
      <c r="A188" s="59">
        <v>177</v>
      </c>
      <c r="B188" s="36" t="s">
        <v>356</v>
      </c>
      <c r="C188" s="36" t="s">
        <v>558</v>
      </c>
      <c r="D188" s="36" t="s">
        <v>800</v>
      </c>
      <c r="E188" s="36" t="s">
        <v>1043</v>
      </c>
      <c r="F188"/>
      <c r="G188" s="36"/>
      <c r="H188" s="36"/>
    </row>
    <row r="189" spans="1:8" x14ac:dyDescent="0.3">
      <c r="A189" s="59">
        <v>178</v>
      </c>
      <c r="B189" s="36" t="s">
        <v>357</v>
      </c>
      <c r="C189" s="36" t="s">
        <v>559</v>
      </c>
      <c r="D189" s="36" t="s">
        <v>801</v>
      </c>
      <c r="E189" s="36" t="s">
        <v>1044</v>
      </c>
      <c r="F189"/>
      <c r="G189" s="36"/>
      <c r="H189" s="36"/>
    </row>
    <row r="190" spans="1:8" ht="26.4" x14ac:dyDescent="0.3">
      <c r="A190" s="59">
        <v>179</v>
      </c>
      <c r="B190" s="36" t="s">
        <v>358</v>
      </c>
      <c r="C190" s="36" t="s">
        <v>560</v>
      </c>
      <c r="D190" s="36" t="s">
        <v>802</v>
      </c>
      <c r="E190" s="36" t="s">
        <v>1045</v>
      </c>
      <c r="F190"/>
      <c r="G190" s="36"/>
      <c r="H190" s="36"/>
    </row>
    <row r="191" spans="1:8" x14ac:dyDescent="0.3">
      <c r="A191" s="59">
        <v>180</v>
      </c>
      <c r="B191" s="98" t="s">
        <v>359</v>
      </c>
      <c r="C191" s="98" t="s">
        <v>561</v>
      </c>
      <c r="D191" s="245" t="s">
        <v>803</v>
      </c>
      <c r="E191" s="249" t="s">
        <v>1046</v>
      </c>
      <c r="F191"/>
      <c r="G191" s="36"/>
      <c r="H191" s="36"/>
    </row>
    <row r="192" spans="1:8" ht="39.6" x14ac:dyDescent="0.3">
      <c r="A192" s="59">
        <v>181</v>
      </c>
      <c r="B192" s="36" t="s">
        <v>360</v>
      </c>
      <c r="C192" s="36" t="s">
        <v>562</v>
      </c>
      <c r="D192" s="36" t="s">
        <v>804</v>
      </c>
      <c r="E192" s="36" t="s">
        <v>1047</v>
      </c>
      <c r="F192"/>
      <c r="G192" s="36"/>
      <c r="H192" s="36"/>
    </row>
    <row r="193" spans="1:8" ht="26.4" x14ac:dyDescent="0.3">
      <c r="A193" s="59">
        <v>182</v>
      </c>
      <c r="B193" s="36" t="s">
        <v>361</v>
      </c>
      <c r="C193" s="36" t="s">
        <v>563</v>
      </c>
      <c r="D193" s="36" t="s">
        <v>805</v>
      </c>
      <c r="E193" s="36" t="s">
        <v>1048</v>
      </c>
      <c r="F193"/>
      <c r="G193" s="36"/>
      <c r="H193" s="36"/>
    </row>
    <row r="194" spans="1:8" x14ac:dyDescent="0.3">
      <c r="A194" s="59">
        <v>183</v>
      </c>
      <c r="B194" s="36" t="s">
        <v>362</v>
      </c>
      <c r="C194" s="36" t="s">
        <v>564</v>
      </c>
      <c r="D194" s="36" t="s">
        <v>806</v>
      </c>
      <c r="E194" s="36" t="s">
        <v>1049</v>
      </c>
      <c r="F194"/>
      <c r="G194" s="36"/>
      <c r="H194" s="36"/>
    </row>
    <row r="195" spans="1:8" ht="26.4" x14ac:dyDescent="0.3">
      <c r="A195" s="59">
        <v>184</v>
      </c>
      <c r="B195" s="36" t="s">
        <v>363</v>
      </c>
      <c r="C195" s="36" t="s">
        <v>565</v>
      </c>
      <c r="D195" s="36" t="s">
        <v>807</v>
      </c>
      <c r="E195" s="36" t="s">
        <v>1050</v>
      </c>
      <c r="F195"/>
      <c r="G195" s="36"/>
      <c r="H195" s="36"/>
    </row>
    <row r="196" spans="1:8" ht="52.8" x14ac:dyDescent="0.3">
      <c r="A196" s="59">
        <v>185</v>
      </c>
      <c r="B196" s="36" t="s">
        <v>0</v>
      </c>
      <c r="C196" s="36" t="s">
        <v>1</v>
      </c>
      <c r="D196" s="36" t="s">
        <v>808</v>
      </c>
      <c r="E196" s="36" t="s">
        <v>1051</v>
      </c>
      <c r="F196"/>
      <c r="G196" s="36"/>
      <c r="H196" s="36"/>
    </row>
    <row r="197" spans="1:8" ht="26.4" x14ac:dyDescent="0.3">
      <c r="A197" s="59">
        <v>186</v>
      </c>
      <c r="B197" s="36" t="s">
        <v>364</v>
      </c>
      <c r="C197" s="36" t="s">
        <v>566</v>
      </c>
      <c r="D197" s="36" t="s">
        <v>809</v>
      </c>
      <c r="E197" s="36" t="s">
        <v>1052</v>
      </c>
      <c r="F197"/>
      <c r="G197" s="36"/>
      <c r="H197" s="36"/>
    </row>
    <row r="198" spans="1:8" ht="26.4" x14ac:dyDescent="0.3">
      <c r="A198" s="59">
        <v>187</v>
      </c>
      <c r="B198" s="36" t="s">
        <v>365</v>
      </c>
      <c r="C198" s="36" t="s">
        <v>567</v>
      </c>
      <c r="D198" s="36" t="s">
        <v>810</v>
      </c>
      <c r="E198" s="36" t="s">
        <v>1053</v>
      </c>
      <c r="F198"/>
      <c r="G198" s="36"/>
      <c r="H198" s="36"/>
    </row>
    <row r="199" spans="1:8" x14ac:dyDescent="0.3">
      <c r="A199" s="59">
        <v>188</v>
      </c>
      <c r="B199" s="98" t="s">
        <v>366</v>
      </c>
      <c r="C199" s="98" t="s">
        <v>568</v>
      </c>
      <c r="D199" s="245" t="s">
        <v>811</v>
      </c>
      <c r="E199" s="249" t="s">
        <v>1054</v>
      </c>
      <c r="F199"/>
      <c r="G199" s="36"/>
      <c r="H199" s="36"/>
    </row>
    <row r="200" spans="1:8" ht="26.4" x14ac:dyDescent="0.3">
      <c r="A200" s="59">
        <v>189</v>
      </c>
      <c r="B200" s="36" t="s">
        <v>367</v>
      </c>
      <c r="C200" s="36" t="s">
        <v>569</v>
      </c>
      <c r="D200" s="36" t="s">
        <v>812</v>
      </c>
      <c r="E200" s="36" t="s">
        <v>1055</v>
      </c>
      <c r="F200"/>
      <c r="G200" s="36"/>
      <c r="H200" s="36"/>
    </row>
    <row r="201" spans="1:8" ht="26.4" x14ac:dyDescent="0.3">
      <c r="A201" s="59">
        <v>190</v>
      </c>
      <c r="B201" s="36" t="s">
        <v>368</v>
      </c>
      <c r="C201" s="36" t="s">
        <v>570</v>
      </c>
      <c r="D201" s="36" t="s">
        <v>813</v>
      </c>
      <c r="E201" s="36" t="s">
        <v>1056</v>
      </c>
      <c r="F201"/>
      <c r="G201" s="36"/>
      <c r="H201" s="36"/>
    </row>
    <row r="202" spans="1:8" x14ac:dyDescent="0.3">
      <c r="A202" s="59">
        <v>191</v>
      </c>
      <c r="B202" s="36" t="s">
        <v>369</v>
      </c>
      <c r="C202" s="36" t="s">
        <v>571</v>
      </c>
      <c r="D202" s="36" t="s">
        <v>814</v>
      </c>
      <c r="E202" s="36" t="s">
        <v>1057</v>
      </c>
      <c r="F202"/>
      <c r="G202" s="36"/>
      <c r="H202" s="36"/>
    </row>
    <row r="203" spans="1:8" ht="39.6" x14ac:dyDescent="0.3">
      <c r="A203" s="59">
        <v>192</v>
      </c>
      <c r="B203" s="36" t="s">
        <v>370</v>
      </c>
      <c r="C203" s="36" t="s">
        <v>572</v>
      </c>
      <c r="D203" s="36" t="s">
        <v>815</v>
      </c>
      <c r="E203" s="36" t="s">
        <v>1058</v>
      </c>
      <c r="F203"/>
      <c r="G203" s="36"/>
      <c r="H203" s="36"/>
    </row>
    <row r="204" spans="1:8" x14ac:dyDescent="0.3">
      <c r="A204" s="59">
        <v>193</v>
      </c>
      <c r="B204" s="98" t="s">
        <v>371</v>
      </c>
      <c r="C204" s="98" t="s">
        <v>573</v>
      </c>
      <c r="D204" s="245" t="s">
        <v>816</v>
      </c>
      <c r="E204" s="249" t="s">
        <v>1059</v>
      </c>
      <c r="F204"/>
      <c r="G204" s="36"/>
      <c r="H204" s="36"/>
    </row>
    <row r="205" spans="1:8" ht="39.6" x14ac:dyDescent="0.3">
      <c r="A205" s="59">
        <v>194</v>
      </c>
      <c r="B205" s="36" t="s">
        <v>372</v>
      </c>
      <c r="C205" s="36" t="s">
        <v>574</v>
      </c>
      <c r="D205" s="36" t="s">
        <v>817</v>
      </c>
      <c r="E205" s="36" t="s">
        <v>1060</v>
      </c>
      <c r="F205"/>
      <c r="G205" s="36"/>
      <c r="H205" s="36"/>
    </row>
    <row r="206" spans="1:8" x14ac:dyDescent="0.3">
      <c r="A206" s="59">
        <v>195</v>
      </c>
      <c r="B206" s="98" t="s">
        <v>373</v>
      </c>
      <c r="C206" s="98" t="s">
        <v>575</v>
      </c>
      <c r="D206" s="245" t="s">
        <v>674</v>
      </c>
      <c r="E206" s="249" t="s">
        <v>1061</v>
      </c>
      <c r="F206"/>
      <c r="G206" s="36"/>
      <c r="H206" s="36"/>
    </row>
    <row r="207" spans="1:8" ht="26.4" x14ac:dyDescent="0.3">
      <c r="A207" s="59">
        <v>196</v>
      </c>
      <c r="B207" s="36" t="s">
        <v>374</v>
      </c>
      <c r="C207" s="36" t="s">
        <v>576</v>
      </c>
      <c r="D207" s="36" t="s">
        <v>818</v>
      </c>
      <c r="E207" s="36" t="s">
        <v>1062</v>
      </c>
      <c r="F207"/>
      <c r="G207" s="36"/>
      <c r="H207" s="36"/>
    </row>
    <row r="208" spans="1:8" ht="26.4" x14ac:dyDescent="0.3">
      <c r="A208" s="59">
        <v>197</v>
      </c>
      <c r="B208" s="36" t="s">
        <v>375</v>
      </c>
      <c r="C208" s="36" t="s">
        <v>577</v>
      </c>
      <c r="D208" s="36" t="s">
        <v>819</v>
      </c>
      <c r="E208" s="36" t="s">
        <v>1063</v>
      </c>
      <c r="F208"/>
      <c r="G208" s="36"/>
      <c r="H208" s="36"/>
    </row>
    <row r="209" spans="1:8" ht="26.4" x14ac:dyDescent="0.3">
      <c r="A209" s="59">
        <v>198</v>
      </c>
      <c r="B209" s="36" t="s">
        <v>376</v>
      </c>
      <c r="C209" s="36" t="s">
        <v>578</v>
      </c>
      <c r="D209" s="36" t="s">
        <v>820</v>
      </c>
      <c r="E209" s="36" t="s">
        <v>1064</v>
      </c>
      <c r="F209"/>
      <c r="G209" s="36"/>
      <c r="H209" s="36"/>
    </row>
    <row r="210" spans="1:8" ht="26.4" x14ac:dyDescent="0.3">
      <c r="A210" s="59">
        <v>199</v>
      </c>
      <c r="B210" s="36" t="s">
        <v>377</v>
      </c>
      <c r="C210" s="36" t="s">
        <v>579</v>
      </c>
      <c r="D210" s="36" t="s">
        <v>821</v>
      </c>
      <c r="E210" s="36" t="s">
        <v>1065</v>
      </c>
      <c r="F210"/>
      <c r="G210" s="36"/>
      <c r="H210" s="36"/>
    </row>
    <row r="211" spans="1:8" ht="26.4" x14ac:dyDescent="0.3">
      <c r="A211" s="59">
        <v>200</v>
      </c>
      <c r="B211" s="36" t="s">
        <v>378</v>
      </c>
      <c r="C211" s="36" t="s">
        <v>580</v>
      </c>
      <c r="D211" s="36" t="s">
        <v>822</v>
      </c>
      <c r="E211" s="36" t="s">
        <v>1066</v>
      </c>
      <c r="F211"/>
      <c r="G211" s="36"/>
      <c r="H211" s="36"/>
    </row>
    <row r="212" spans="1:8" x14ac:dyDescent="0.3">
      <c r="A212" s="59">
        <v>201</v>
      </c>
      <c r="B212" s="96" t="s">
        <v>603</v>
      </c>
      <c r="C212" s="96" t="s">
        <v>604</v>
      </c>
      <c r="D212" s="244" t="s">
        <v>823</v>
      </c>
      <c r="E212" s="244" t="s">
        <v>1067</v>
      </c>
      <c r="F212"/>
      <c r="G212" s="36"/>
      <c r="H212" s="36"/>
    </row>
    <row r="213" spans="1:8" x14ac:dyDescent="0.3">
      <c r="A213" s="59">
        <v>202</v>
      </c>
      <c r="B213" s="98" t="s">
        <v>379</v>
      </c>
      <c r="C213" s="98" t="s">
        <v>581</v>
      </c>
      <c r="D213" s="245" t="s">
        <v>824</v>
      </c>
      <c r="E213" s="249" t="s">
        <v>1068</v>
      </c>
      <c r="F213"/>
      <c r="G213" s="36"/>
      <c r="H213" s="36"/>
    </row>
    <row r="214" spans="1:8" ht="52.8" x14ac:dyDescent="0.3">
      <c r="A214" s="59">
        <v>203</v>
      </c>
      <c r="B214" s="36" t="s">
        <v>610</v>
      </c>
      <c r="C214" s="36" t="s">
        <v>611</v>
      </c>
      <c r="D214" s="36" t="s">
        <v>825</v>
      </c>
      <c r="E214" s="36" t="s">
        <v>1069</v>
      </c>
      <c r="F214"/>
      <c r="G214" s="36"/>
      <c r="H214" s="36"/>
    </row>
    <row r="215" spans="1:8" ht="26.4" x14ac:dyDescent="0.3">
      <c r="A215" s="59">
        <v>204</v>
      </c>
      <c r="B215" s="36" t="s">
        <v>612</v>
      </c>
      <c r="C215" s="36" t="s">
        <v>613</v>
      </c>
      <c r="D215" s="36" t="s">
        <v>826</v>
      </c>
      <c r="E215" s="36" t="s">
        <v>1070</v>
      </c>
      <c r="F215"/>
      <c r="G215" s="36"/>
      <c r="H215" s="36"/>
    </row>
    <row r="216" spans="1:8" ht="39.6" x14ac:dyDescent="0.3">
      <c r="A216" s="59">
        <v>205</v>
      </c>
      <c r="B216" s="36" t="s">
        <v>380</v>
      </c>
      <c r="C216" s="36" t="s">
        <v>582</v>
      </c>
      <c r="D216" s="36" t="s">
        <v>827</v>
      </c>
      <c r="E216" s="36" t="s">
        <v>1071</v>
      </c>
      <c r="F216"/>
      <c r="G216" s="36"/>
      <c r="H216" s="36"/>
    </row>
    <row r="217" spans="1:8" ht="26.4" x14ac:dyDescent="0.3">
      <c r="A217" s="59">
        <v>206</v>
      </c>
      <c r="B217" s="36" t="s">
        <v>614</v>
      </c>
      <c r="C217" s="36" t="s">
        <v>583</v>
      </c>
      <c r="D217" s="36" t="s">
        <v>828</v>
      </c>
      <c r="E217" s="36" t="s">
        <v>1072</v>
      </c>
      <c r="F217"/>
      <c r="G217" s="36"/>
      <c r="H217" s="36"/>
    </row>
    <row r="218" spans="1:8" ht="26.4" x14ac:dyDescent="0.3">
      <c r="A218" s="59">
        <v>207</v>
      </c>
      <c r="B218" s="36" t="s">
        <v>615</v>
      </c>
      <c r="C218" s="36" t="s">
        <v>616</v>
      </c>
      <c r="D218" s="36" t="s">
        <v>829</v>
      </c>
      <c r="E218" s="36" t="s">
        <v>1073</v>
      </c>
      <c r="F218"/>
      <c r="G218" s="36"/>
      <c r="H218" s="36"/>
    </row>
    <row r="219" spans="1:8" ht="39.6" x14ac:dyDescent="0.3">
      <c r="A219" s="59">
        <v>208</v>
      </c>
      <c r="B219" s="36" t="s">
        <v>383</v>
      </c>
      <c r="C219" s="36" t="s">
        <v>587</v>
      </c>
      <c r="D219" s="36" t="s">
        <v>830</v>
      </c>
      <c r="E219" s="36" t="s">
        <v>1074</v>
      </c>
      <c r="F219"/>
      <c r="G219" s="36"/>
      <c r="H219" s="36"/>
    </row>
    <row r="220" spans="1:8" ht="26.4" x14ac:dyDescent="0.3">
      <c r="A220" s="59">
        <v>210</v>
      </c>
      <c r="B220" s="98" t="s">
        <v>381</v>
      </c>
      <c r="C220" s="98" t="s">
        <v>584</v>
      </c>
      <c r="D220" s="245" t="s">
        <v>831</v>
      </c>
      <c r="E220" s="249" t="s">
        <v>1075</v>
      </c>
      <c r="F220"/>
      <c r="G220" s="36"/>
      <c r="H220" s="36"/>
    </row>
    <row r="221" spans="1:8" ht="39.6" x14ac:dyDescent="0.3">
      <c r="A221" s="59">
        <v>211</v>
      </c>
      <c r="B221" s="36" t="s">
        <v>382</v>
      </c>
      <c r="C221" s="36" t="s">
        <v>586</v>
      </c>
      <c r="D221" s="36" t="s">
        <v>832</v>
      </c>
      <c r="E221" s="36" t="s">
        <v>1076</v>
      </c>
      <c r="F221"/>
      <c r="G221" s="36"/>
      <c r="H221" s="36"/>
    </row>
    <row r="222" spans="1:8" ht="39.6" x14ac:dyDescent="0.3">
      <c r="A222" s="59">
        <v>212</v>
      </c>
      <c r="B222" s="36" t="s">
        <v>617</v>
      </c>
      <c r="C222" s="36" t="s">
        <v>585</v>
      </c>
      <c r="D222" s="36" t="s">
        <v>833</v>
      </c>
      <c r="E222" s="36" t="s">
        <v>1077</v>
      </c>
      <c r="F222"/>
      <c r="G222" s="36"/>
      <c r="H222" s="36"/>
    </row>
    <row r="223" spans="1:8" ht="39.6" x14ac:dyDescent="0.3">
      <c r="A223" s="59">
        <v>213</v>
      </c>
      <c r="B223" s="36" t="s">
        <v>618</v>
      </c>
      <c r="C223" s="36" t="s">
        <v>619</v>
      </c>
      <c r="D223" s="36" t="s">
        <v>834</v>
      </c>
      <c r="E223" s="36" t="s">
        <v>1078</v>
      </c>
      <c r="F223"/>
      <c r="G223" s="36"/>
      <c r="H223" s="36"/>
    </row>
    <row r="224" spans="1:8" ht="27" x14ac:dyDescent="0.3">
      <c r="A224" s="59">
        <v>214</v>
      </c>
      <c r="B224" s="65" t="s">
        <v>620</v>
      </c>
      <c r="C224" s="36" t="s">
        <v>588</v>
      </c>
      <c r="D224" s="36" t="s">
        <v>835</v>
      </c>
      <c r="E224" s="36" t="s">
        <v>1079</v>
      </c>
      <c r="F224"/>
      <c r="G224" s="36"/>
      <c r="H224" s="36"/>
    </row>
    <row r="225" spans="1:8" ht="26.4" x14ac:dyDescent="0.3">
      <c r="B225" s="98" t="s">
        <v>621</v>
      </c>
      <c r="C225" s="98" t="s">
        <v>622</v>
      </c>
      <c r="D225" s="245" t="s">
        <v>836</v>
      </c>
      <c r="E225" s="249" t="s">
        <v>1080</v>
      </c>
      <c r="F225"/>
      <c r="G225" s="36"/>
      <c r="H225" s="36"/>
    </row>
    <row r="226" spans="1:8" ht="66" x14ac:dyDescent="0.3">
      <c r="B226" s="36" t="s">
        <v>623</v>
      </c>
      <c r="C226" s="36" t="s">
        <v>624</v>
      </c>
      <c r="D226" s="87" t="s">
        <v>837</v>
      </c>
      <c r="E226" s="36" t="s">
        <v>1081</v>
      </c>
      <c r="F226"/>
      <c r="G226" s="36"/>
      <c r="H226" s="36"/>
    </row>
    <row r="227" spans="1:8" ht="26.4" x14ac:dyDescent="0.3">
      <c r="B227" s="36" t="s">
        <v>625</v>
      </c>
      <c r="C227" s="36" t="s">
        <v>626</v>
      </c>
      <c r="D227" s="87" t="s">
        <v>838</v>
      </c>
      <c r="E227" s="36" t="s">
        <v>1082</v>
      </c>
      <c r="F227"/>
      <c r="G227" s="36"/>
      <c r="H227" s="36"/>
    </row>
    <row r="228" spans="1:8" ht="66" x14ac:dyDescent="0.3">
      <c r="B228" s="87" t="s">
        <v>627</v>
      </c>
      <c r="C228" s="87" t="s">
        <v>628</v>
      </c>
      <c r="D228" s="87" t="s">
        <v>839</v>
      </c>
      <c r="E228" s="36" t="s">
        <v>1083</v>
      </c>
      <c r="F228"/>
      <c r="G228" s="36"/>
      <c r="H228" s="36"/>
    </row>
    <row r="229" spans="1:8" ht="66" x14ac:dyDescent="0.3">
      <c r="B229" s="36" t="s">
        <v>629</v>
      </c>
      <c r="C229" s="36" t="s">
        <v>630</v>
      </c>
      <c r="D229" s="87" t="s">
        <v>840</v>
      </c>
      <c r="E229" s="36" t="s">
        <v>1084</v>
      </c>
      <c r="F229"/>
      <c r="G229" s="36"/>
      <c r="H229" s="36"/>
    </row>
    <row r="230" spans="1:8" ht="39.6" x14ac:dyDescent="0.3">
      <c r="B230" s="36" t="s">
        <v>631</v>
      </c>
      <c r="C230" s="36" t="s">
        <v>632</v>
      </c>
      <c r="D230" s="36" t="s">
        <v>841</v>
      </c>
      <c r="E230" s="36" t="s">
        <v>1085</v>
      </c>
      <c r="F230"/>
      <c r="G230" s="36"/>
      <c r="H230" s="36"/>
    </row>
    <row r="231" spans="1:8" ht="26.4" x14ac:dyDescent="0.3">
      <c r="B231" s="36" t="s">
        <v>633</v>
      </c>
      <c r="C231" s="36" t="s">
        <v>634</v>
      </c>
      <c r="D231" s="36" t="s">
        <v>842</v>
      </c>
      <c r="E231" s="36" t="s">
        <v>1086</v>
      </c>
      <c r="F231"/>
      <c r="G231" s="36"/>
      <c r="H231" s="36"/>
    </row>
    <row r="232" spans="1:8" x14ac:dyDescent="0.3">
      <c r="A232" s="59">
        <v>216</v>
      </c>
      <c r="B232" s="96" t="s">
        <v>384</v>
      </c>
      <c r="C232" s="96" t="s">
        <v>589</v>
      </c>
      <c r="D232" s="244" t="s">
        <v>843</v>
      </c>
      <c r="E232" s="244" t="s">
        <v>1087</v>
      </c>
      <c r="F232"/>
      <c r="G232" s="36"/>
      <c r="H232" s="36"/>
    </row>
    <row r="233" spans="1:8" x14ac:dyDescent="0.3">
      <c r="A233" s="59">
        <v>217</v>
      </c>
      <c r="B233" s="36" t="s">
        <v>385</v>
      </c>
      <c r="C233" s="36" t="s">
        <v>590</v>
      </c>
      <c r="D233" s="36" t="s">
        <v>844</v>
      </c>
      <c r="E233" s="36" t="s">
        <v>1088</v>
      </c>
      <c r="F233"/>
      <c r="G233" s="36"/>
      <c r="H233" s="36"/>
    </row>
    <row r="234" spans="1:8" x14ac:dyDescent="0.3">
      <c r="A234" s="59">
        <v>218</v>
      </c>
      <c r="B234" s="98" t="s">
        <v>388</v>
      </c>
      <c r="C234" s="98" t="s">
        <v>591</v>
      </c>
      <c r="D234" s="245" t="s">
        <v>845</v>
      </c>
      <c r="E234" s="249" t="s">
        <v>1089</v>
      </c>
      <c r="F234"/>
      <c r="G234" s="36"/>
      <c r="H234" s="36"/>
    </row>
    <row r="235" spans="1:8" ht="52.8" x14ac:dyDescent="0.3">
      <c r="A235" s="59">
        <v>219</v>
      </c>
      <c r="B235" s="36" t="s">
        <v>386</v>
      </c>
      <c r="C235" s="36" t="s">
        <v>592</v>
      </c>
      <c r="D235" s="36" t="s">
        <v>846</v>
      </c>
      <c r="E235" s="36" t="s">
        <v>1090</v>
      </c>
      <c r="F235"/>
      <c r="G235" s="36"/>
      <c r="H235" s="36"/>
    </row>
    <row r="236" spans="1:8" ht="39.6" x14ac:dyDescent="0.3">
      <c r="A236" s="59">
        <v>220</v>
      </c>
      <c r="B236" s="36" t="s">
        <v>387</v>
      </c>
      <c r="C236" s="36" t="s">
        <v>593</v>
      </c>
      <c r="D236" s="36" t="s">
        <v>847</v>
      </c>
      <c r="E236" s="36" t="s">
        <v>1091</v>
      </c>
      <c r="F236"/>
      <c r="G236" s="36"/>
      <c r="H236" s="36"/>
    </row>
    <row r="237" spans="1:8" ht="39.6" x14ac:dyDescent="0.3">
      <c r="A237" s="59">
        <v>221</v>
      </c>
      <c r="B237" s="36" t="s">
        <v>389</v>
      </c>
      <c r="C237" s="36" t="s">
        <v>594</v>
      </c>
      <c r="D237" s="36" t="s">
        <v>848</v>
      </c>
      <c r="E237" s="36" t="s">
        <v>1092</v>
      </c>
      <c r="F237"/>
      <c r="G237" s="36"/>
      <c r="H237" s="36"/>
    </row>
    <row r="238" spans="1:8" ht="39.6" x14ac:dyDescent="0.3">
      <c r="A238" s="59">
        <v>222</v>
      </c>
      <c r="B238" s="36" t="s">
        <v>390</v>
      </c>
      <c r="C238" s="36" t="s">
        <v>595</v>
      </c>
      <c r="D238" s="36" t="s">
        <v>849</v>
      </c>
      <c r="E238" s="36" t="s">
        <v>1093</v>
      </c>
      <c r="F238"/>
      <c r="G238" s="36"/>
      <c r="H238" s="36"/>
    </row>
    <row r="239" spans="1:8" ht="39.6" x14ac:dyDescent="0.3">
      <c r="A239" s="59">
        <v>223</v>
      </c>
      <c r="B239" s="36" t="s">
        <v>391</v>
      </c>
      <c r="C239" s="36" t="s">
        <v>596</v>
      </c>
      <c r="D239" s="36" t="s">
        <v>850</v>
      </c>
      <c r="E239" s="36" t="s">
        <v>1094</v>
      </c>
      <c r="F239"/>
      <c r="G239" s="36"/>
      <c r="H239" s="36"/>
    </row>
    <row r="240" spans="1:8" ht="52.8" x14ac:dyDescent="0.3">
      <c r="A240" s="59">
        <v>224</v>
      </c>
      <c r="B240" s="36" t="s">
        <v>392</v>
      </c>
      <c r="C240" s="36" t="s">
        <v>597</v>
      </c>
      <c r="D240" s="36" t="s">
        <v>851</v>
      </c>
      <c r="E240" s="36" t="s">
        <v>1095</v>
      </c>
      <c r="F240"/>
      <c r="G240" s="36"/>
      <c r="H240" s="36"/>
    </row>
    <row r="241" spans="1:8" ht="52.8" x14ac:dyDescent="0.3">
      <c r="A241" s="59">
        <v>225</v>
      </c>
      <c r="B241" s="36" t="s">
        <v>393</v>
      </c>
      <c r="C241" s="36" t="s">
        <v>598</v>
      </c>
      <c r="D241" s="36" t="s">
        <v>852</v>
      </c>
      <c r="E241" s="36" t="s">
        <v>1096</v>
      </c>
      <c r="F241"/>
      <c r="G241" s="36"/>
      <c r="H241" s="36"/>
    </row>
    <row r="242" spans="1:8" x14ac:dyDescent="0.3">
      <c r="B242" s="36"/>
      <c r="C242" s="36"/>
      <c r="D242" s="36"/>
      <c r="E242" s="36"/>
      <c r="F242"/>
      <c r="G242" s="36"/>
      <c r="H242" s="36"/>
    </row>
    <row r="243" spans="1:8" x14ac:dyDescent="0.3">
      <c r="B243" s="36" t="s">
        <v>11</v>
      </c>
      <c r="C243" s="36" t="s">
        <v>470</v>
      </c>
      <c r="D243" s="36" t="s">
        <v>853</v>
      </c>
      <c r="E243" s="36" t="s">
        <v>11</v>
      </c>
      <c r="F243"/>
      <c r="G243" s="36"/>
      <c r="H243" s="36"/>
    </row>
    <row r="244" spans="1:8" x14ac:dyDescent="0.3">
      <c r="B244" s="51" t="s">
        <v>5</v>
      </c>
      <c r="C244" s="51" t="s">
        <v>8</v>
      </c>
      <c r="D244" s="51" t="s">
        <v>854</v>
      </c>
      <c r="E244" s="51" t="s">
        <v>5</v>
      </c>
      <c r="F244"/>
      <c r="G244" s="36"/>
      <c r="H244" s="36"/>
    </row>
    <row r="245" spans="1:8" x14ac:dyDescent="0.3">
      <c r="B245" s="51" t="s">
        <v>6</v>
      </c>
      <c r="C245" s="51" t="s">
        <v>9</v>
      </c>
      <c r="D245" s="51" t="s">
        <v>855</v>
      </c>
      <c r="E245" s="51" t="s">
        <v>6</v>
      </c>
      <c r="F245"/>
      <c r="G245" s="36"/>
      <c r="H245" s="36"/>
    </row>
    <row r="246" spans="1:8" x14ac:dyDescent="0.3">
      <c r="B246" s="51" t="s">
        <v>7</v>
      </c>
      <c r="C246" s="51" t="s">
        <v>10</v>
      </c>
      <c r="D246" s="51" t="s">
        <v>856</v>
      </c>
      <c r="E246" s="51" t="s">
        <v>7</v>
      </c>
      <c r="F246"/>
      <c r="G246" s="36"/>
      <c r="H246" s="36"/>
    </row>
    <row r="247" spans="1:8" x14ac:dyDescent="0.3">
      <c r="B247" s="36"/>
      <c r="C247" s="36"/>
      <c r="D247" s="36"/>
      <c r="E247" s="36"/>
      <c r="F247"/>
      <c r="G247" s="36"/>
      <c r="H247" s="36"/>
    </row>
    <row r="248" spans="1:8" x14ac:dyDescent="0.3">
      <c r="B248" s="36" t="s">
        <v>607</v>
      </c>
      <c r="C248" s="36"/>
      <c r="D248" s="36"/>
      <c r="E248" s="36"/>
      <c r="F248"/>
      <c r="G248" s="36"/>
      <c r="H248" s="36"/>
    </row>
    <row r="249" spans="1:8" x14ac:dyDescent="0.3">
      <c r="B249" s="36"/>
      <c r="C249" s="36"/>
      <c r="D249" s="36"/>
      <c r="E249" s="36"/>
      <c r="F249"/>
      <c r="G249" s="36"/>
      <c r="H249" s="36"/>
    </row>
    <row r="250" spans="1:8" x14ac:dyDescent="0.3">
      <c r="B250" s="36"/>
      <c r="C250" s="36"/>
      <c r="D250" s="36"/>
      <c r="E250" s="36"/>
      <c r="F250"/>
      <c r="G250" s="36"/>
      <c r="H250" s="36"/>
    </row>
    <row r="251" spans="1:8" x14ac:dyDescent="0.3">
      <c r="B251" s="36"/>
      <c r="C251" s="36"/>
      <c r="D251" s="36"/>
      <c r="E251" s="36"/>
      <c r="F251"/>
      <c r="G251" s="36"/>
      <c r="H251" s="36"/>
    </row>
    <row r="252" spans="1:8" x14ac:dyDescent="0.3">
      <c r="B252" s="36"/>
      <c r="C252" s="36"/>
      <c r="D252" s="36"/>
      <c r="E252" s="36"/>
      <c r="F252"/>
      <c r="G252" s="36"/>
      <c r="H252" s="36"/>
    </row>
    <row r="253" spans="1:8" x14ac:dyDescent="0.3">
      <c r="B253" s="36"/>
      <c r="C253" s="36"/>
      <c r="D253" s="36"/>
      <c r="E253" s="36"/>
      <c r="F253"/>
      <c r="G253" s="36"/>
      <c r="H253" s="36"/>
    </row>
    <row r="254" spans="1:8" x14ac:dyDescent="0.3">
      <c r="B254" s="36"/>
      <c r="C254" s="36"/>
      <c r="D254" s="36"/>
      <c r="E254" s="36"/>
      <c r="F254"/>
      <c r="G254" s="36"/>
      <c r="H254" s="36"/>
    </row>
    <row r="255" spans="1:8" x14ac:dyDescent="0.3">
      <c r="B255" s="36"/>
      <c r="C255" s="36"/>
      <c r="D255" s="36"/>
      <c r="E255" s="36"/>
      <c r="F255"/>
      <c r="G255" s="36"/>
      <c r="H255" s="36"/>
    </row>
    <row r="256" spans="1:8" x14ac:dyDescent="0.3">
      <c r="B256" s="36"/>
      <c r="C256" s="36"/>
      <c r="D256" s="36"/>
      <c r="E256" s="36"/>
      <c r="F256"/>
      <c r="G256" s="36"/>
      <c r="H256" s="36"/>
    </row>
    <row r="257" spans="2:8" x14ac:dyDescent="0.3">
      <c r="B257" s="36"/>
      <c r="C257" s="36"/>
      <c r="D257" s="36"/>
      <c r="E257" s="36"/>
      <c r="F257"/>
      <c r="G257" s="36"/>
      <c r="H257" s="36"/>
    </row>
    <row r="258" spans="2:8" x14ac:dyDescent="0.3">
      <c r="B258" s="36"/>
      <c r="C258" s="36"/>
      <c r="D258" s="36"/>
      <c r="E258" s="36"/>
      <c r="F258"/>
      <c r="G258" s="36"/>
      <c r="H258" s="36"/>
    </row>
    <row r="259" spans="2:8" x14ac:dyDescent="0.3">
      <c r="B259" s="36"/>
      <c r="C259" s="36"/>
      <c r="D259" s="36"/>
      <c r="E259" s="36"/>
      <c r="F259"/>
      <c r="G259" s="36"/>
      <c r="H259" s="36"/>
    </row>
    <row r="260" spans="2:8" x14ac:dyDescent="0.3">
      <c r="B260" s="36"/>
      <c r="C260" s="36"/>
      <c r="D260" s="36"/>
      <c r="E260" s="36"/>
      <c r="F260"/>
      <c r="G260" s="36"/>
      <c r="H260" s="36"/>
    </row>
    <row r="261" spans="2:8" x14ac:dyDescent="0.3">
      <c r="B261" s="36"/>
      <c r="C261" s="36"/>
      <c r="D261" s="36"/>
      <c r="E261" s="36"/>
      <c r="F261"/>
      <c r="G261" s="36"/>
      <c r="H261" s="36"/>
    </row>
    <row r="262" spans="2:8" x14ac:dyDescent="0.3">
      <c r="B262" s="36"/>
      <c r="C262" s="36"/>
      <c r="D262" s="36"/>
      <c r="E262" s="36"/>
      <c r="F262"/>
      <c r="G262" s="36"/>
      <c r="H262" s="36"/>
    </row>
    <row r="263" spans="2:8" x14ac:dyDescent="0.3">
      <c r="B263" s="36"/>
      <c r="C263" s="36"/>
      <c r="D263" s="36"/>
      <c r="E263" s="36"/>
      <c r="F263"/>
      <c r="G263" s="36"/>
      <c r="H263" s="36"/>
    </row>
    <row r="264" spans="2:8" x14ac:dyDescent="0.3">
      <c r="B264" s="36"/>
      <c r="C264" s="36"/>
      <c r="D264" s="36"/>
      <c r="E264" s="36"/>
      <c r="F264"/>
      <c r="G264" s="36"/>
      <c r="H264" s="36"/>
    </row>
    <row r="265" spans="2:8" x14ac:dyDescent="0.3">
      <c r="B265" s="36"/>
      <c r="C265" s="36"/>
      <c r="D265" s="36"/>
      <c r="E265" s="36"/>
      <c r="F265"/>
      <c r="G265" s="36"/>
      <c r="H265" s="36"/>
    </row>
    <row r="266" spans="2:8" x14ac:dyDescent="0.3">
      <c r="B266" s="36"/>
      <c r="C266" s="36"/>
      <c r="D266" s="36"/>
      <c r="E266" s="36"/>
      <c r="F266"/>
      <c r="G266" s="36"/>
      <c r="H266" s="36"/>
    </row>
    <row r="267" spans="2:8" x14ac:dyDescent="0.3">
      <c r="B267" s="36"/>
      <c r="C267" s="36"/>
      <c r="D267" s="36"/>
      <c r="E267" s="36"/>
      <c r="F267"/>
      <c r="G267" s="36"/>
      <c r="H267" s="36"/>
    </row>
    <row r="268" spans="2:8" x14ac:dyDescent="0.3">
      <c r="B268" s="36"/>
      <c r="C268" s="36"/>
      <c r="D268" s="36"/>
      <c r="E268" s="36"/>
      <c r="F268" s="38"/>
      <c r="G268" s="36"/>
      <c r="H268" s="36"/>
    </row>
    <row r="269" spans="2:8" ht="16.2" thickBot="1" x14ac:dyDescent="0.35">
      <c r="B269" s="47"/>
      <c r="C269" s="47"/>
      <c r="D269" s="47"/>
      <c r="E269" s="47"/>
    </row>
    <row r="270" spans="2:8" x14ac:dyDescent="0.3">
      <c r="B270" s="95"/>
      <c r="C270" s="95"/>
      <c r="D270" s="95"/>
      <c r="E270" s="95"/>
    </row>
    <row r="271" spans="2:8" x14ac:dyDescent="0.3">
      <c r="B271" s="95"/>
      <c r="C271" s="95"/>
      <c r="D271" s="95"/>
      <c r="E271" s="95"/>
    </row>
    <row r="272" spans="2:8" x14ac:dyDescent="0.3">
      <c r="B272" s="95"/>
      <c r="C272" s="95"/>
      <c r="D272" s="95"/>
      <c r="E272" s="95"/>
    </row>
    <row r="273" spans="1:5" x14ac:dyDescent="0.3">
      <c r="B273" s="95"/>
      <c r="C273" s="95"/>
      <c r="D273" s="95"/>
      <c r="E273" s="95"/>
    </row>
    <row r="274" spans="1:5" x14ac:dyDescent="0.3">
      <c r="B274" s="95"/>
      <c r="C274" s="95"/>
      <c r="D274" s="95"/>
      <c r="E274" s="95"/>
    </row>
    <row r="275" spans="1:5" x14ac:dyDescent="0.3">
      <c r="B275" s="95"/>
      <c r="C275" s="95"/>
      <c r="D275" s="95"/>
      <c r="E275" s="95"/>
    </row>
    <row r="276" spans="1:5" x14ac:dyDescent="0.3">
      <c r="A276" s="60"/>
      <c r="B276" s="48"/>
      <c r="C276" s="48"/>
      <c r="D276" s="71"/>
    </row>
    <row r="277" spans="1:5" x14ac:dyDescent="0.3">
      <c r="A277" s="60"/>
      <c r="B277" s="48"/>
      <c r="C277" s="48"/>
      <c r="D277" s="71"/>
    </row>
    <row r="278" spans="1:5" x14ac:dyDescent="0.3">
      <c r="A278" s="60"/>
      <c r="B278" s="48"/>
      <c r="C278" s="48"/>
      <c r="D278" s="71"/>
    </row>
    <row r="279" spans="1:5" x14ac:dyDescent="0.3">
      <c r="A279" s="60"/>
      <c r="B279" s="48" t="s">
        <v>20</v>
      </c>
      <c r="C279" s="48" t="s">
        <v>19</v>
      </c>
      <c r="D279" s="48" t="s">
        <v>62</v>
      </c>
      <c r="E279" s="48" t="s">
        <v>50</v>
      </c>
    </row>
    <row r="280" spans="1:5" x14ac:dyDescent="0.3">
      <c r="A280" s="60"/>
      <c r="B280" s="48" t="s">
        <v>195</v>
      </c>
      <c r="C280" s="48" t="s">
        <v>196</v>
      </c>
      <c r="D280" s="48" t="s">
        <v>63</v>
      </c>
      <c r="E280" s="48" t="s">
        <v>56</v>
      </c>
    </row>
    <row r="281" spans="1:5" x14ac:dyDescent="0.3">
      <c r="A281" s="60"/>
      <c r="B281" s="48" t="s">
        <v>194</v>
      </c>
      <c r="C281" s="48" t="s">
        <v>193</v>
      </c>
      <c r="D281" s="48" t="s">
        <v>64</v>
      </c>
      <c r="E281" s="48" t="s">
        <v>57</v>
      </c>
    </row>
    <row r="282" spans="1:5" x14ac:dyDescent="0.3">
      <c r="A282" s="60"/>
      <c r="B282" s="48" t="s">
        <v>192</v>
      </c>
      <c r="C282" s="48" t="s">
        <v>191</v>
      </c>
      <c r="D282" s="48" t="s">
        <v>65</v>
      </c>
      <c r="E282" s="48" t="s">
        <v>58</v>
      </c>
    </row>
    <row r="283" spans="1:5" x14ac:dyDescent="0.3">
      <c r="A283" s="60" t="s">
        <v>190</v>
      </c>
      <c r="B283" s="48" t="s">
        <v>188</v>
      </c>
      <c r="C283" s="48" t="s">
        <v>189</v>
      </c>
      <c r="D283" s="48" t="s">
        <v>66</v>
      </c>
      <c r="E283" s="48" t="s">
        <v>59</v>
      </c>
    </row>
    <row r="284" spans="1:5" x14ac:dyDescent="0.3">
      <c r="A284" s="60" t="s">
        <v>187</v>
      </c>
      <c r="B284" s="48" t="s">
        <v>182</v>
      </c>
      <c r="C284" s="48" t="s">
        <v>181</v>
      </c>
      <c r="D284" s="48" t="s">
        <v>67</v>
      </c>
      <c r="E284" s="48" t="s">
        <v>51</v>
      </c>
    </row>
    <row r="285" spans="1:5" x14ac:dyDescent="0.3">
      <c r="A285" s="60" t="s">
        <v>186</v>
      </c>
      <c r="B285" s="48" t="s">
        <v>183</v>
      </c>
      <c r="C285" s="48" t="s">
        <v>180</v>
      </c>
      <c r="D285" s="48" t="s">
        <v>68</v>
      </c>
      <c r="E285" s="48" t="s">
        <v>52</v>
      </c>
    </row>
    <row r="286" spans="1:5" x14ac:dyDescent="0.3">
      <c r="A286" s="60" t="s">
        <v>185</v>
      </c>
      <c r="B286" s="48" t="s">
        <v>184</v>
      </c>
      <c r="C286" s="48" t="s">
        <v>179</v>
      </c>
      <c r="D286" s="48" t="s">
        <v>53</v>
      </c>
      <c r="E286" s="48" t="s">
        <v>53</v>
      </c>
    </row>
    <row r="287" spans="1:5" x14ac:dyDescent="0.3">
      <c r="A287" s="60" t="s">
        <v>177</v>
      </c>
      <c r="B287" s="48" t="s">
        <v>178</v>
      </c>
      <c r="C287" s="48" t="s">
        <v>176</v>
      </c>
      <c r="D287" s="48" t="s">
        <v>178</v>
      </c>
      <c r="E287" s="48" t="s">
        <v>54</v>
      </c>
    </row>
    <row r="288" spans="1:5" x14ac:dyDescent="0.3">
      <c r="A288" s="60" t="s">
        <v>173</v>
      </c>
      <c r="B288" s="48" t="s">
        <v>175</v>
      </c>
      <c r="C288" s="48" t="s">
        <v>174</v>
      </c>
      <c r="D288" s="48" t="s">
        <v>69</v>
      </c>
      <c r="E288" s="48" t="s">
        <v>55</v>
      </c>
    </row>
    <row r="289" spans="1:15" x14ac:dyDescent="0.3">
      <c r="A289" s="59">
        <v>295</v>
      </c>
      <c r="B289" s="48" t="s">
        <v>101</v>
      </c>
      <c r="C289" s="48" t="s">
        <v>148</v>
      </c>
      <c r="D289" s="48" t="s">
        <v>70</v>
      </c>
      <c r="E289" s="48" t="s">
        <v>25</v>
      </c>
    </row>
    <row r="290" spans="1:15" x14ac:dyDescent="0.3">
      <c r="A290" s="59">
        <v>296</v>
      </c>
      <c r="B290" s="48" t="s">
        <v>171</v>
      </c>
      <c r="C290" s="48" t="s">
        <v>171</v>
      </c>
      <c r="D290" s="48" t="s">
        <v>71</v>
      </c>
      <c r="E290" s="48" t="s">
        <v>26</v>
      </c>
    </row>
    <row r="291" spans="1:15" x14ac:dyDescent="0.3">
      <c r="A291" s="59">
        <v>297</v>
      </c>
      <c r="B291" s="51" t="s">
        <v>102</v>
      </c>
      <c r="C291" s="51" t="s">
        <v>129</v>
      </c>
      <c r="D291" s="51" t="s">
        <v>72</v>
      </c>
      <c r="E291" s="51" t="s">
        <v>27</v>
      </c>
    </row>
    <row r="292" spans="1:15" x14ac:dyDescent="0.3">
      <c r="A292" s="59">
        <v>298</v>
      </c>
      <c r="B292" s="51" t="s">
        <v>103</v>
      </c>
      <c r="C292" s="51" t="s">
        <v>130</v>
      </c>
      <c r="D292" s="51" t="s">
        <v>73</v>
      </c>
      <c r="E292" s="51" t="s">
        <v>28</v>
      </c>
    </row>
    <row r="293" spans="1:15" x14ac:dyDescent="0.3">
      <c r="A293" s="59">
        <v>299</v>
      </c>
      <c r="B293" s="51" t="s">
        <v>104</v>
      </c>
      <c r="C293" s="51" t="s">
        <v>131</v>
      </c>
      <c r="D293" s="51" t="s">
        <v>74</v>
      </c>
      <c r="E293" s="51" t="s">
        <v>29</v>
      </c>
    </row>
    <row r="294" spans="1:15" x14ac:dyDescent="0.3">
      <c r="A294" s="59">
        <v>300</v>
      </c>
      <c r="B294" s="51" t="s">
        <v>105</v>
      </c>
      <c r="C294" s="51" t="s">
        <v>132</v>
      </c>
      <c r="D294" s="51" t="s">
        <v>75</v>
      </c>
      <c r="E294" s="51" t="s">
        <v>30</v>
      </c>
    </row>
    <row r="295" spans="1:15" x14ac:dyDescent="0.3">
      <c r="A295" s="59">
        <v>301</v>
      </c>
      <c r="B295" s="51" t="s">
        <v>104</v>
      </c>
      <c r="C295" s="51" t="s">
        <v>131</v>
      </c>
      <c r="D295" s="51" t="s">
        <v>74</v>
      </c>
      <c r="E295" s="51" t="s">
        <v>29</v>
      </c>
    </row>
    <row r="296" spans="1:15" x14ac:dyDescent="0.3">
      <c r="A296" s="59">
        <v>302</v>
      </c>
      <c r="B296" s="51" t="s">
        <v>107</v>
      </c>
      <c r="C296" s="51" t="s">
        <v>133</v>
      </c>
      <c r="D296" s="51" t="s">
        <v>76</v>
      </c>
      <c r="E296" s="51" t="s">
        <v>31</v>
      </c>
    </row>
    <row r="297" spans="1:15" x14ac:dyDescent="0.3">
      <c r="A297" s="59">
        <v>303</v>
      </c>
      <c r="B297" s="51" t="s">
        <v>106</v>
      </c>
      <c r="C297" s="51" t="s">
        <v>134</v>
      </c>
      <c r="D297" s="51" t="s">
        <v>77</v>
      </c>
      <c r="E297" s="51" t="s">
        <v>32</v>
      </c>
    </row>
    <row r="298" spans="1:15" x14ac:dyDescent="0.3">
      <c r="A298" s="59">
        <v>304</v>
      </c>
      <c r="B298" s="51" t="s">
        <v>5</v>
      </c>
      <c r="C298" s="51" t="s">
        <v>8</v>
      </c>
      <c r="D298" s="51" t="s">
        <v>78</v>
      </c>
      <c r="E298" s="51" t="s">
        <v>33</v>
      </c>
      <c r="F298" s="52"/>
      <c r="G298" s="52"/>
      <c r="H298" s="52"/>
      <c r="I298" s="52"/>
      <c r="J298" s="52"/>
      <c r="K298" s="52"/>
      <c r="L298" s="52"/>
      <c r="M298" s="52"/>
      <c r="N298" s="52"/>
      <c r="O298" s="52"/>
    </row>
    <row r="299" spans="1:15" x14ac:dyDescent="0.3">
      <c r="A299" s="59">
        <v>305</v>
      </c>
      <c r="B299" s="51" t="s">
        <v>6</v>
      </c>
      <c r="C299" s="51" t="s">
        <v>9</v>
      </c>
      <c r="D299" s="51" t="s">
        <v>79</v>
      </c>
      <c r="E299" s="51" t="s">
        <v>34</v>
      </c>
      <c r="F299" s="52"/>
      <c r="G299" s="52"/>
      <c r="H299" s="52"/>
      <c r="I299" s="52"/>
      <c r="J299" s="52"/>
      <c r="K299" s="52"/>
      <c r="L299" s="52"/>
      <c r="M299" s="52"/>
      <c r="N299" s="52"/>
      <c r="O299" s="52"/>
    </row>
    <row r="300" spans="1:15" x14ac:dyDescent="0.3">
      <c r="A300" s="59">
        <v>306</v>
      </c>
      <c r="B300" s="51" t="s">
        <v>7</v>
      </c>
      <c r="C300" s="51" t="s">
        <v>10</v>
      </c>
      <c r="D300" s="51" t="s">
        <v>80</v>
      </c>
      <c r="E300" s="51" t="s">
        <v>35</v>
      </c>
      <c r="F300" s="52"/>
      <c r="G300" s="52"/>
      <c r="H300" s="52"/>
      <c r="I300" s="52"/>
      <c r="J300" s="52"/>
      <c r="K300" s="52"/>
      <c r="L300" s="52"/>
      <c r="M300" s="52"/>
      <c r="N300" s="52"/>
      <c r="O300" s="52"/>
    </row>
    <row r="301" spans="1:15" ht="13.2" customHeight="1" x14ac:dyDescent="0.3">
      <c r="A301" s="59">
        <v>307</v>
      </c>
      <c r="B301" s="51" t="s">
        <v>112</v>
      </c>
      <c r="C301" s="51" t="s">
        <v>135</v>
      </c>
      <c r="D301" s="51" t="s">
        <v>81</v>
      </c>
      <c r="E301" s="51" t="s">
        <v>36</v>
      </c>
      <c r="M301" s="17"/>
      <c r="N301" s="17"/>
    </row>
    <row r="302" spans="1:15" ht="13.2" customHeight="1" x14ac:dyDescent="0.3">
      <c r="A302" s="59">
        <v>308</v>
      </c>
      <c r="B302" s="51" t="s">
        <v>137</v>
      </c>
      <c r="C302" s="51" t="s">
        <v>136</v>
      </c>
      <c r="D302" s="51" t="s">
        <v>82</v>
      </c>
      <c r="E302" s="51" t="s">
        <v>37</v>
      </c>
    </row>
    <row r="303" spans="1:15" x14ac:dyDescent="0.3">
      <c r="A303" s="59">
        <v>309</v>
      </c>
      <c r="B303" s="51" t="s">
        <v>99</v>
      </c>
      <c r="C303" s="51" t="s">
        <v>124</v>
      </c>
      <c r="D303" s="51" t="s">
        <v>61</v>
      </c>
      <c r="E303" s="51" t="s">
        <v>24</v>
      </c>
    </row>
    <row r="304" spans="1:15" x14ac:dyDescent="0.3">
      <c r="A304" s="59">
        <v>310</v>
      </c>
      <c r="B304" s="51" t="s">
        <v>157</v>
      </c>
      <c r="C304" s="51" t="s">
        <v>157</v>
      </c>
      <c r="D304" s="51" t="s">
        <v>60</v>
      </c>
      <c r="E304" s="51" t="s">
        <v>157</v>
      </c>
    </row>
    <row r="305" spans="1:9" x14ac:dyDescent="0.3">
      <c r="A305" s="59">
        <v>311</v>
      </c>
      <c r="B305" s="51" t="s">
        <v>98</v>
      </c>
      <c r="C305" s="51" t="s">
        <v>158</v>
      </c>
      <c r="D305" s="51" t="s">
        <v>98</v>
      </c>
      <c r="E305" s="51" t="s">
        <v>23</v>
      </c>
    </row>
    <row r="306" spans="1:9" x14ac:dyDescent="0.3">
      <c r="A306" s="59">
        <v>312</v>
      </c>
      <c r="B306" s="51" t="s">
        <v>21</v>
      </c>
      <c r="C306" s="51" t="s">
        <v>22</v>
      </c>
      <c r="D306" s="51" t="s">
        <v>83</v>
      </c>
      <c r="E306" s="51" t="s">
        <v>38</v>
      </c>
    </row>
    <row r="307" spans="1:9" x14ac:dyDescent="0.3">
      <c r="A307" s="59">
        <v>313</v>
      </c>
      <c r="B307" s="51" t="s">
        <v>108</v>
      </c>
      <c r="C307" s="51" t="s">
        <v>138</v>
      </c>
      <c r="D307" s="51" t="s">
        <v>84</v>
      </c>
      <c r="E307" s="51" t="s">
        <v>39</v>
      </c>
    </row>
    <row r="308" spans="1:9" x14ac:dyDescent="0.3">
      <c r="A308" s="59">
        <v>314</v>
      </c>
      <c r="B308" s="51" t="s">
        <v>109</v>
      </c>
      <c r="C308" s="51" t="s">
        <v>139</v>
      </c>
      <c r="D308" s="51" t="s">
        <v>85</v>
      </c>
      <c r="E308" s="51" t="s">
        <v>40</v>
      </c>
      <c r="F308" s="53"/>
    </row>
    <row r="309" spans="1:9" x14ac:dyDescent="0.3">
      <c r="A309" s="59">
        <v>315</v>
      </c>
      <c r="B309" s="51" t="s">
        <v>110</v>
      </c>
      <c r="C309" s="51" t="s">
        <v>140</v>
      </c>
      <c r="D309" s="51" t="s">
        <v>86</v>
      </c>
      <c r="E309" s="51" t="s">
        <v>41</v>
      </c>
    </row>
    <row r="310" spans="1:9" x14ac:dyDescent="0.3">
      <c r="A310" s="59">
        <v>316</v>
      </c>
      <c r="B310" s="51" t="s">
        <v>111</v>
      </c>
      <c r="C310" s="51" t="s">
        <v>141</v>
      </c>
      <c r="D310" s="51" t="s">
        <v>87</v>
      </c>
      <c r="E310" s="51" t="s">
        <v>42</v>
      </c>
    </row>
    <row r="311" spans="1:9" x14ac:dyDescent="0.3">
      <c r="A311" s="59">
        <v>317</v>
      </c>
      <c r="B311" s="51" t="s">
        <v>170</v>
      </c>
      <c r="C311" s="51" t="s">
        <v>170</v>
      </c>
      <c r="D311" s="51" t="s">
        <v>88</v>
      </c>
      <c r="E311" s="51" t="s">
        <v>170</v>
      </c>
    </row>
    <row r="312" spans="1:9" ht="13.2" customHeight="1" x14ac:dyDescent="0.3">
      <c r="A312" s="59">
        <v>318</v>
      </c>
      <c r="B312" s="51" t="s">
        <v>114</v>
      </c>
      <c r="C312" s="51" t="s">
        <v>142</v>
      </c>
      <c r="D312" s="51" t="s">
        <v>89</v>
      </c>
      <c r="E312" s="51" t="s">
        <v>43</v>
      </c>
      <c r="F312" s="54"/>
      <c r="G312" s="54"/>
      <c r="H312" s="54"/>
      <c r="I312" s="54"/>
    </row>
    <row r="313" spans="1:9" ht="13.2" customHeight="1" x14ac:dyDescent="0.3">
      <c r="A313" s="59">
        <v>319</v>
      </c>
      <c r="B313" s="29" t="s">
        <v>113</v>
      </c>
      <c r="C313" s="29" t="s">
        <v>143</v>
      </c>
      <c r="D313" s="29" t="s">
        <v>90</v>
      </c>
      <c r="E313" s="88" t="s">
        <v>44</v>
      </c>
      <c r="F313" s="54"/>
      <c r="G313" s="54"/>
      <c r="H313" s="54"/>
      <c r="I313" s="54"/>
    </row>
    <row r="314" spans="1:9" x14ac:dyDescent="0.3">
      <c r="A314" s="59">
        <v>320</v>
      </c>
      <c r="B314" s="29" t="s">
        <v>116</v>
      </c>
      <c r="C314" s="29" t="s">
        <v>144</v>
      </c>
      <c r="D314" s="29" t="s">
        <v>91</v>
      </c>
      <c r="E314" s="29" t="s">
        <v>45</v>
      </c>
    </row>
    <row r="315" spans="1:9" x14ac:dyDescent="0.3">
      <c r="A315" s="59">
        <v>321</v>
      </c>
      <c r="B315" s="29" t="s">
        <v>117</v>
      </c>
      <c r="C315" s="29" t="s">
        <v>145</v>
      </c>
      <c r="D315" s="29" t="s">
        <v>92</v>
      </c>
      <c r="E315" s="29" t="s">
        <v>46</v>
      </c>
    </row>
    <row r="316" spans="1:9" x14ac:dyDescent="0.3">
      <c r="A316" s="59">
        <v>322</v>
      </c>
      <c r="B316" s="29" t="s">
        <v>118</v>
      </c>
      <c r="C316" s="29" t="s">
        <v>146</v>
      </c>
      <c r="D316" s="29" t="s">
        <v>93</v>
      </c>
      <c r="E316" s="29" t="s">
        <v>47</v>
      </c>
    </row>
    <row r="317" spans="1:9" x14ac:dyDescent="0.3">
      <c r="A317" s="59">
        <v>323</v>
      </c>
      <c r="B317" s="29" t="s">
        <v>115</v>
      </c>
      <c r="C317" s="29" t="s">
        <v>147</v>
      </c>
      <c r="D317" s="29" t="s">
        <v>94</v>
      </c>
      <c r="E317" s="29" t="s">
        <v>48</v>
      </c>
    </row>
    <row r="318" spans="1:9" x14ac:dyDescent="0.3">
      <c r="A318" s="59">
        <v>324</v>
      </c>
      <c r="B318" s="73" t="s">
        <v>100</v>
      </c>
      <c r="C318" s="73" t="s">
        <v>172</v>
      </c>
      <c r="D318" s="89" t="s">
        <v>95</v>
      </c>
      <c r="E318" s="73" t="s">
        <v>49</v>
      </c>
    </row>
    <row r="323" spans="2:2" x14ac:dyDescent="0.3">
      <c r="B323" s="41" t="s">
        <v>119</v>
      </c>
    </row>
    <row r="324" spans="2:2" x14ac:dyDescent="0.3">
      <c r="B324" s="41" t="s">
        <v>1097</v>
      </c>
    </row>
    <row r="325" spans="2:2" x14ac:dyDescent="0.3">
      <c r="B325" s="41" t="s">
        <v>636</v>
      </c>
    </row>
    <row r="326" spans="2:2" x14ac:dyDescent="0.3">
      <c r="B326" s="42" t="s">
        <v>867</v>
      </c>
    </row>
    <row r="327" spans="2:2" x14ac:dyDescent="0.3">
      <c r="B327" s="41"/>
    </row>
    <row r="328" spans="2:2" x14ac:dyDescent="0.3">
      <c r="B328" s="43"/>
    </row>
  </sheetData>
  <customSheetViews>
    <customSheetView guid="{94C000B2-F1E8-4309-B026-879312EBDDFE}" scale="90" showRuler="0" topLeftCell="A289">
      <selection activeCell="C329" sqref="C329"/>
      <pageMargins left="0.78740157499999996" right="0.78740157499999996" top="0.984251969" bottom="0.984251969" header="0.4921259845" footer="0.4921259845"/>
      <pageSetup paperSize="9" scale="70" orientation="landscape" horizontalDpi="4294967293" r:id="rId1"/>
      <headerFooter alignWithMargins="0"/>
    </customSheetView>
    <customSheetView guid="{361266F1-4AF5-4F0A-8FC6-0F39C1250F75}" scale="90" topLeftCell="A289">
      <selection activeCell="C329" sqref="C329"/>
      <pageMargins left="0.78740157499999996" right="0.78740157499999996" top="0.984251969" bottom="0.984251969" header="0.4921259845" footer="0.4921259845"/>
      <pageSetup paperSize="9" scale="70" orientation="landscape" horizontalDpi="4294967293" r:id="rId2"/>
      <headerFooter alignWithMargins="0"/>
    </customSheetView>
  </customSheetViews>
  <phoneticPr fontId="10" type="noConversion"/>
  <pageMargins left="0.78740157499999996" right="0.78740157499999996" top="0.984251969" bottom="0.984251969" header="0.4921259845" footer="0.4921259845"/>
  <pageSetup paperSize="9" scale="70" orientation="landscape" horizontalDpi="4294967293" r:id="rId3"/>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6"/>
  <dimension ref="A1:Z36"/>
  <sheetViews>
    <sheetView zoomScale="85" zoomScaleNormal="85" workbookViewId="0">
      <selection activeCell="C2" sqref="C2"/>
    </sheetView>
  </sheetViews>
  <sheetFormatPr defaultColWidth="11.5546875" defaultRowHeight="13.2" x14ac:dyDescent="0.25"/>
  <cols>
    <col min="1" max="1" width="3.44140625" style="14" customWidth="1"/>
    <col min="2" max="2" width="54.6640625" style="14" customWidth="1"/>
    <col min="3" max="4" width="11.5546875" style="14" customWidth="1"/>
    <col min="5" max="5" width="18" style="14" customWidth="1"/>
    <col min="6" max="6" width="17.109375" style="14" customWidth="1"/>
    <col min="7" max="7" width="20.6640625" style="14" customWidth="1"/>
    <col min="8" max="24" width="7.6640625" style="14" customWidth="1"/>
    <col min="25" max="16384" width="11.5546875" style="14"/>
  </cols>
  <sheetData>
    <row r="1" spans="1:26" x14ac:dyDescent="0.25">
      <c r="A1" s="399" t="s">
        <v>160</v>
      </c>
      <c r="B1" s="399"/>
      <c r="C1" s="20" t="s">
        <v>159</v>
      </c>
      <c r="D1" s="21"/>
      <c r="E1" s="21"/>
      <c r="F1" s="21"/>
      <c r="G1" s="21"/>
      <c r="H1" s="21"/>
      <c r="I1" s="21"/>
      <c r="J1" s="21"/>
      <c r="K1" s="21"/>
      <c r="L1" s="21"/>
      <c r="M1" s="21"/>
      <c r="N1" s="21"/>
      <c r="O1" s="21"/>
      <c r="P1" s="21"/>
      <c r="Q1" s="21"/>
      <c r="R1" s="21"/>
      <c r="S1" s="21"/>
      <c r="T1" s="21"/>
      <c r="U1" s="21"/>
      <c r="V1" s="21"/>
      <c r="W1" s="21"/>
      <c r="X1" s="21"/>
      <c r="Y1" s="21"/>
      <c r="Z1" s="21"/>
    </row>
    <row r="2" spans="1:26" x14ac:dyDescent="0.25">
      <c r="A2" s="21" t="str">
        <f>Questions_QMS!A7</f>
        <v>1.</v>
      </c>
      <c r="B2" s="21" t="str">
        <f>VLOOKUP(Vocabularies!B107,Vocabularies!$B$1:$I$358,Vocabularies!$J$2,0)</f>
        <v>Section D Quality System Assessment</v>
      </c>
      <c r="C2" s="20">
        <f>SUM(Questions_QMS!S9:S260)</f>
        <v>0</v>
      </c>
      <c r="D2" s="21"/>
      <c r="E2" s="21"/>
      <c r="F2" s="21"/>
      <c r="G2" s="21"/>
      <c r="H2" s="21"/>
      <c r="I2" s="21"/>
      <c r="J2" s="21"/>
      <c r="K2" s="21"/>
      <c r="L2" s="21"/>
      <c r="M2" s="21"/>
      <c r="N2" s="21"/>
      <c r="O2" s="21"/>
      <c r="P2" s="21"/>
      <c r="Q2" s="21"/>
      <c r="R2" s="21"/>
      <c r="S2" s="21"/>
      <c r="T2" s="21"/>
      <c r="U2" s="21"/>
      <c r="V2" s="21"/>
      <c r="W2" s="21"/>
      <c r="X2" s="21"/>
      <c r="Y2" s="21"/>
      <c r="Z2" s="21"/>
    </row>
    <row r="3" spans="1:26" x14ac:dyDescent="0.25">
      <c r="A3" s="21" t="str">
        <f>Questions_QMS!A26</f>
        <v>2.</v>
      </c>
      <c r="B3" s="21" t="str">
        <f>VLOOKUP(Vocabularies!B212,Vocabularies!$B$1:$I$358,Vocabularies!$J$2,0)</f>
        <v xml:space="preserve">Section E Environmental and Safty management </v>
      </c>
      <c r="C3" s="20">
        <f>SUM(Questions_H_S!S9:S58)</f>
        <v>0</v>
      </c>
      <c r="D3" s="21"/>
      <c r="E3" s="21"/>
      <c r="F3" s="21"/>
      <c r="G3" s="21"/>
      <c r="H3" s="21"/>
      <c r="I3" s="21"/>
      <c r="J3" s="21"/>
      <c r="K3" s="21"/>
      <c r="L3" s="21"/>
      <c r="M3" s="21"/>
      <c r="N3" s="21"/>
      <c r="O3" s="21"/>
      <c r="P3" s="21"/>
      <c r="Q3" s="21"/>
      <c r="R3" s="21"/>
      <c r="S3" s="21"/>
      <c r="T3" s="21"/>
      <c r="U3" s="21"/>
      <c r="V3" s="21"/>
      <c r="W3" s="21"/>
      <c r="X3" s="21"/>
      <c r="Y3" s="21"/>
      <c r="Z3" s="21"/>
    </row>
    <row r="4" spans="1:26" x14ac:dyDescent="0.25">
      <c r="A4" s="21" t="str">
        <f>Questions_QMS!A33</f>
        <v>3.</v>
      </c>
      <c r="B4" s="21" t="str">
        <f>VLOOKUP(Vocabularies!B232,Vocabularies!$B$1:$I$358,Vocabularies!$J$2,0)</f>
        <v>Section F Global Compact Principle</v>
      </c>
      <c r="C4" s="20">
        <f>SUM(Questions_GCP!S10:S28)</f>
        <v>0</v>
      </c>
      <c r="D4" s="21"/>
      <c r="E4" s="21"/>
      <c r="F4" s="21"/>
      <c r="G4" s="21"/>
      <c r="H4" s="21"/>
      <c r="I4" s="21"/>
      <c r="J4" s="21"/>
      <c r="K4" s="21"/>
      <c r="L4" s="21"/>
      <c r="M4" s="21"/>
      <c r="N4" s="21"/>
      <c r="O4" s="21"/>
      <c r="P4" s="21"/>
      <c r="Q4" s="21"/>
      <c r="R4" s="21"/>
      <c r="S4" s="21"/>
      <c r="T4" s="21"/>
      <c r="U4" s="21"/>
      <c r="V4" s="21"/>
      <c r="W4" s="21"/>
      <c r="X4" s="21"/>
      <c r="Y4" s="21"/>
      <c r="Z4" s="21"/>
    </row>
    <row r="5" spans="1:26" x14ac:dyDescent="0.25">
      <c r="A5" s="21"/>
      <c r="B5" s="21"/>
      <c r="C5" s="20"/>
      <c r="D5" s="21"/>
      <c r="E5" s="21"/>
      <c r="F5" s="21"/>
      <c r="G5" s="21"/>
      <c r="H5" s="21"/>
      <c r="I5" s="21"/>
      <c r="J5" s="21"/>
      <c r="K5" s="21"/>
      <c r="L5" s="21"/>
      <c r="M5" s="21"/>
      <c r="N5" s="21"/>
      <c r="O5" s="21"/>
      <c r="P5" s="21"/>
      <c r="Q5" s="21"/>
      <c r="R5" s="21"/>
      <c r="S5" s="21"/>
      <c r="T5" s="21"/>
      <c r="U5" s="21"/>
      <c r="V5" s="21"/>
      <c r="W5" s="21"/>
      <c r="X5" s="21"/>
      <c r="Y5" s="21"/>
      <c r="Z5" s="21"/>
    </row>
    <row r="6" spans="1:26" x14ac:dyDescent="0.25">
      <c r="A6" s="21"/>
      <c r="B6" s="21"/>
      <c r="C6" s="20"/>
      <c r="D6" s="21"/>
      <c r="E6" s="21"/>
      <c r="F6" s="21"/>
      <c r="G6" s="21"/>
      <c r="H6" s="21"/>
      <c r="I6" s="21"/>
      <c r="J6" s="21"/>
      <c r="K6" s="21"/>
      <c r="L6" s="21"/>
      <c r="M6" s="21"/>
      <c r="N6" s="21"/>
      <c r="O6" s="21"/>
      <c r="P6" s="21"/>
      <c r="Q6" s="21"/>
      <c r="R6" s="21"/>
      <c r="S6" s="21"/>
      <c r="T6" s="21"/>
      <c r="U6" s="21"/>
      <c r="V6" s="21"/>
      <c r="W6" s="21"/>
      <c r="X6" s="21"/>
      <c r="Y6" s="21"/>
      <c r="Z6" s="21"/>
    </row>
    <row r="7" spans="1:26" x14ac:dyDescent="0.25">
      <c r="A7" s="21"/>
      <c r="B7" s="21"/>
      <c r="C7" s="20"/>
      <c r="D7" s="21"/>
      <c r="E7" s="21"/>
      <c r="F7" s="21"/>
      <c r="G7" s="21"/>
      <c r="H7" s="21"/>
      <c r="I7" s="21"/>
      <c r="J7" s="21"/>
      <c r="K7" s="21"/>
      <c r="L7" s="21"/>
      <c r="M7" s="21"/>
      <c r="N7" s="21"/>
      <c r="O7" s="21"/>
      <c r="P7" s="21"/>
      <c r="Q7" s="21"/>
      <c r="R7" s="21"/>
      <c r="S7" s="21"/>
      <c r="T7" s="21"/>
      <c r="U7" s="21"/>
      <c r="V7" s="21"/>
      <c r="W7" s="21"/>
      <c r="X7" s="21"/>
      <c r="Y7" s="21"/>
      <c r="Z7" s="21"/>
    </row>
    <row r="8" spans="1:26" x14ac:dyDescent="0.25">
      <c r="A8" s="21"/>
      <c r="B8" s="21"/>
      <c r="C8" s="20"/>
      <c r="D8" s="21"/>
      <c r="E8" s="21"/>
      <c r="F8" s="21"/>
      <c r="G8" s="21"/>
      <c r="H8" s="21"/>
      <c r="I8" s="21"/>
      <c r="J8" s="21"/>
      <c r="K8" s="21"/>
      <c r="L8" s="21"/>
      <c r="M8" s="21"/>
      <c r="N8" s="21"/>
      <c r="O8" s="21"/>
      <c r="P8" s="21"/>
      <c r="Q8" s="21"/>
      <c r="R8" s="21"/>
      <c r="S8" s="21"/>
      <c r="T8" s="21"/>
      <c r="U8" s="21"/>
      <c r="V8" s="21"/>
      <c r="W8" s="21"/>
      <c r="X8" s="21"/>
      <c r="Y8" s="21"/>
      <c r="Z8" s="21"/>
    </row>
    <row r="9" spans="1:26" x14ac:dyDescent="0.25">
      <c r="A9" s="21"/>
      <c r="B9" s="21"/>
      <c r="C9" s="20"/>
      <c r="D9" s="21"/>
      <c r="E9" s="21"/>
      <c r="F9" s="21"/>
      <c r="G9" s="21"/>
      <c r="H9" s="21"/>
      <c r="I9" s="21"/>
      <c r="J9" s="21"/>
      <c r="K9" s="21"/>
      <c r="L9" s="21"/>
      <c r="M9" s="21"/>
      <c r="N9" s="21"/>
      <c r="O9" s="21"/>
      <c r="P9" s="21"/>
      <c r="Q9" s="21"/>
      <c r="R9" s="21"/>
      <c r="S9" s="21"/>
      <c r="T9" s="21"/>
      <c r="U9" s="21"/>
      <c r="V9" s="21"/>
      <c r="W9" s="21"/>
      <c r="X9" s="21"/>
      <c r="Y9" s="21"/>
      <c r="Z9" s="21"/>
    </row>
    <row r="10" spans="1:26" x14ac:dyDescent="0.25">
      <c r="A10" s="21"/>
      <c r="B10" s="21"/>
      <c r="C10" s="20"/>
      <c r="D10" s="21"/>
      <c r="E10" s="21"/>
      <c r="F10" s="21"/>
      <c r="G10" s="21"/>
      <c r="H10" s="21"/>
      <c r="I10" s="21"/>
      <c r="J10" s="21"/>
      <c r="K10" s="21"/>
      <c r="L10" s="21"/>
      <c r="M10" s="21"/>
      <c r="N10" s="21"/>
      <c r="O10" s="21"/>
      <c r="P10" s="21"/>
      <c r="Q10" s="21"/>
      <c r="R10" s="21"/>
      <c r="S10" s="21"/>
      <c r="T10" s="21"/>
      <c r="U10" s="21"/>
      <c r="V10" s="21"/>
      <c r="W10" s="21"/>
      <c r="X10" s="21"/>
      <c r="Y10" s="21"/>
      <c r="Z10" s="21"/>
    </row>
    <row r="11" spans="1:26" x14ac:dyDescent="0.25">
      <c r="A11" s="21"/>
      <c r="B11" s="21"/>
      <c r="C11" s="20"/>
      <c r="D11" s="21"/>
      <c r="E11" s="21"/>
      <c r="F11" s="21"/>
      <c r="G11" s="21"/>
      <c r="H11" s="21"/>
      <c r="I11" s="21"/>
      <c r="J11" s="21"/>
      <c r="K11" s="21"/>
      <c r="L11" s="21"/>
      <c r="M11" s="21"/>
      <c r="N11" s="21"/>
      <c r="O11" s="21"/>
      <c r="P11" s="21"/>
      <c r="Q11" s="21"/>
      <c r="R11" s="21"/>
      <c r="S11" s="21"/>
      <c r="T11" s="21"/>
      <c r="U11" s="21"/>
      <c r="V11" s="21"/>
      <c r="W11" s="21"/>
      <c r="X11" s="21"/>
      <c r="Y11" s="21"/>
      <c r="Z11" s="21"/>
    </row>
    <row r="12" spans="1:26" x14ac:dyDescent="0.25">
      <c r="A12" s="21"/>
      <c r="B12" s="21"/>
      <c r="C12" s="20"/>
      <c r="D12" s="21"/>
      <c r="E12" s="21"/>
      <c r="F12" s="21"/>
      <c r="G12" s="21"/>
      <c r="H12" s="21"/>
      <c r="I12" s="21"/>
      <c r="J12" s="21"/>
      <c r="K12" s="21"/>
      <c r="L12" s="21"/>
      <c r="M12" s="21"/>
      <c r="N12" s="21"/>
      <c r="O12" s="21"/>
      <c r="P12" s="21"/>
      <c r="Q12" s="21"/>
      <c r="R12" s="21"/>
      <c r="S12" s="21"/>
      <c r="T12" s="21"/>
      <c r="U12" s="21"/>
      <c r="V12" s="21"/>
      <c r="W12" s="21"/>
      <c r="X12" s="21"/>
      <c r="Y12" s="21"/>
      <c r="Z12" s="21"/>
    </row>
    <row r="13" spans="1:26" x14ac:dyDescent="0.25">
      <c r="A13" s="21"/>
      <c r="B13" s="21"/>
      <c r="C13" s="20"/>
      <c r="D13" s="21"/>
      <c r="E13" s="21"/>
      <c r="F13" s="21"/>
      <c r="G13" s="21"/>
      <c r="H13" s="21"/>
      <c r="I13" s="21"/>
      <c r="J13" s="21"/>
      <c r="K13" s="21"/>
      <c r="L13" s="21"/>
      <c r="M13" s="21"/>
      <c r="N13" s="21"/>
      <c r="O13" s="21"/>
      <c r="P13" s="21"/>
      <c r="Q13" s="21"/>
      <c r="R13" s="21"/>
      <c r="S13" s="21"/>
      <c r="T13" s="21"/>
      <c r="U13" s="21"/>
      <c r="V13" s="21"/>
      <c r="W13" s="21"/>
      <c r="X13" s="21"/>
      <c r="Y13" s="21"/>
      <c r="Z13" s="21"/>
    </row>
    <row r="14" spans="1:26" x14ac:dyDescent="0.25">
      <c r="A14" s="21" t="s">
        <v>128</v>
      </c>
      <c r="B14" s="21" t="e">
        <f>#REF!</f>
        <v>#REF!</v>
      </c>
      <c r="C14" s="20">
        <f>SUM(C2:C13)</f>
        <v>0</v>
      </c>
      <c r="D14" s="20"/>
      <c r="E14" s="20">
        <v>1</v>
      </c>
      <c r="F14" s="20">
        <v>2</v>
      </c>
      <c r="G14" s="20">
        <v>3</v>
      </c>
      <c r="H14" s="20"/>
      <c r="I14" s="20"/>
      <c r="J14" s="20"/>
      <c r="K14" s="20"/>
      <c r="L14" s="20"/>
      <c r="M14" s="20"/>
      <c r="N14" s="20"/>
      <c r="O14" s="20"/>
      <c r="P14" s="20"/>
      <c r="Q14" s="20"/>
      <c r="R14" s="21"/>
      <c r="S14" s="21"/>
      <c r="T14" s="21"/>
      <c r="U14" s="21"/>
      <c r="V14" s="21"/>
      <c r="W14" s="21"/>
      <c r="X14" s="21"/>
      <c r="Y14" s="21"/>
      <c r="Z14" s="21"/>
    </row>
    <row r="15" spans="1:26" x14ac:dyDescent="0.25">
      <c r="A15" s="21"/>
      <c r="B15" s="21"/>
      <c r="C15" s="21"/>
      <c r="D15" s="21"/>
      <c r="E15" s="21"/>
      <c r="F15" s="21"/>
      <c r="G15" s="21"/>
      <c r="H15" s="21"/>
      <c r="I15" s="21"/>
      <c r="J15" s="21"/>
      <c r="K15" s="21"/>
      <c r="L15" s="21"/>
      <c r="M15" s="21"/>
      <c r="N15" s="21"/>
      <c r="O15" s="21"/>
      <c r="P15" s="21"/>
      <c r="Q15" s="21"/>
      <c r="R15" s="21"/>
      <c r="S15" s="21"/>
      <c r="T15" s="21"/>
      <c r="U15" s="21"/>
      <c r="V15" s="21"/>
      <c r="W15" s="21"/>
      <c r="X15" s="21"/>
      <c r="Y15" s="21"/>
      <c r="Z15" s="21"/>
    </row>
    <row r="16" spans="1:26" x14ac:dyDescent="0.25">
      <c r="A16" s="21"/>
      <c r="B16" s="21"/>
      <c r="C16" s="400" t="s">
        <v>161</v>
      </c>
      <c r="D16" s="400"/>
      <c r="E16" s="22" t="str">
        <f>B2</f>
        <v>Section D Quality System Assessment</v>
      </c>
      <c r="F16" s="22" t="str">
        <f>B3</f>
        <v xml:space="preserve">Section E Environmental and Safty management </v>
      </c>
      <c r="G16" s="22" t="str">
        <f>B4</f>
        <v>Section F Global Compact Principle</v>
      </c>
      <c r="H16" s="22"/>
      <c r="I16" s="22"/>
      <c r="J16" s="22"/>
      <c r="K16" s="22"/>
      <c r="L16" s="22" t="e">
        <f>B14</f>
        <v>#REF!</v>
      </c>
      <c r="M16" s="22"/>
      <c r="N16" s="22"/>
      <c r="O16" s="22"/>
      <c r="P16" s="22"/>
      <c r="Q16" s="22"/>
      <c r="R16" s="22"/>
      <c r="S16" s="23"/>
      <c r="T16" s="23"/>
      <c r="U16" s="23"/>
      <c r="V16" s="23"/>
      <c r="W16" s="22" t="s">
        <v>162</v>
      </c>
      <c r="X16" s="21"/>
      <c r="Y16" s="21"/>
      <c r="Z16" s="21"/>
    </row>
    <row r="17" spans="1:26" x14ac:dyDescent="0.25">
      <c r="A17" s="21"/>
      <c r="B17" s="21"/>
      <c r="C17" s="23"/>
      <c r="D17" s="23"/>
      <c r="E17" s="23"/>
      <c r="F17" s="23"/>
      <c r="G17" s="23"/>
      <c r="H17" s="23"/>
      <c r="I17" s="23"/>
      <c r="J17" s="23"/>
      <c r="K17" s="23"/>
      <c r="L17" s="23"/>
      <c r="M17" s="23"/>
      <c r="N17" s="23"/>
      <c r="O17" s="23"/>
      <c r="P17" s="23"/>
      <c r="Q17" s="23"/>
      <c r="R17" s="23"/>
      <c r="S17" s="23"/>
      <c r="T17" s="23"/>
      <c r="U17" s="23"/>
      <c r="V17" s="23"/>
      <c r="W17" s="23"/>
      <c r="X17" s="21"/>
      <c r="Y17" s="21"/>
      <c r="Z17" s="21"/>
    </row>
    <row r="18" spans="1:26" x14ac:dyDescent="0.25">
      <c r="A18" s="21"/>
      <c r="B18" s="21"/>
      <c r="C18" s="400" t="s">
        <v>163</v>
      </c>
      <c r="D18" s="400"/>
      <c r="E18" s="24">
        <f>+C2</f>
        <v>0</v>
      </c>
      <c r="F18" s="24">
        <f>+C3</f>
        <v>0</v>
      </c>
      <c r="G18" s="24">
        <f>+C4</f>
        <v>0</v>
      </c>
      <c r="H18" s="24"/>
      <c r="I18" s="24"/>
      <c r="J18" s="24"/>
      <c r="K18" s="24"/>
      <c r="L18" s="24">
        <f>SUM(E18:G18)</f>
        <v>0</v>
      </c>
      <c r="M18" s="24"/>
      <c r="N18" s="24"/>
      <c r="O18" s="24"/>
      <c r="P18" s="24"/>
      <c r="Q18" s="24"/>
      <c r="R18" s="24"/>
      <c r="S18" s="23"/>
      <c r="T18" s="23"/>
      <c r="U18" s="23"/>
      <c r="V18" s="22">
        <f>IF(E20="N/A",1,0)</f>
        <v>1</v>
      </c>
      <c r="W18" s="22">
        <v>1</v>
      </c>
      <c r="X18" s="21"/>
      <c r="Y18" s="21"/>
      <c r="Z18" s="21"/>
    </row>
    <row r="19" spans="1:26" x14ac:dyDescent="0.25">
      <c r="A19" s="21"/>
      <c r="B19" s="21"/>
      <c r="C19" s="400" t="s">
        <v>164</v>
      </c>
      <c r="D19" s="400"/>
      <c r="E19" s="24">
        <f>COUNT(Questions_QMS!S9:S260)*2</f>
        <v>0</v>
      </c>
      <c r="F19" s="24">
        <f>COUNT(Questions_H_S!S9:S58)*2</f>
        <v>0</v>
      </c>
      <c r="G19" s="24">
        <f>COUNT(Questions_GCP!S10:S28)*2</f>
        <v>0</v>
      </c>
      <c r="H19" s="24"/>
      <c r="I19" s="24"/>
      <c r="J19" s="24"/>
      <c r="K19" s="24"/>
      <c r="L19" s="24">
        <f>SUM(E19:G19)</f>
        <v>0</v>
      </c>
      <c r="M19" s="24"/>
      <c r="N19" s="24"/>
      <c r="O19" s="24"/>
      <c r="P19" s="24"/>
      <c r="Q19" s="24"/>
      <c r="R19" s="24"/>
      <c r="S19" s="23"/>
      <c r="T19" s="23"/>
      <c r="U19" s="23"/>
      <c r="V19" s="22">
        <f>IF(F20="N/A",1,0)</f>
        <v>1</v>
      </c>
      <c r="W19" s="22">
        <v>2</v>
      </c>
      <c r="X19" s="21"/>
      <c r="Y19" s="21"/>
      <c r="Z19" s="21"/>
    </row>
    <row r="20" spans="1:26" x14ac:dyDescent="0.25">
      <c r="A20" s="21"/>
      <c r="B20" s="21"/>
      <c r="C20" s="400" t="s">
        <v>165</v>
      </c>
      <c r="D20" s="400"/>
      <c r="E20" s="25" t="str">
        <f>IF(COUNT(Questions_QMS!S9:S260)=0,"N/A",ROUNDDOWN(E18/E19,2))</f>
        <v>N/A</v>
      </c>
      <c r="F20" s="25" t="str">
        <f>IF(COUNT(Questions_H_S!S9:S58)=0,"N/A",ROUNDDOWN(F18/F19,2))</f>
        <v>N/A</v>
      </c>
      <c r="G20" s="25" t="str">
        <f>IF(COUNT(Questions_GCP!S10:S28)=0,"N/A",ROUNDDOWN(G18/G19,2))</f>
        <v>N/A</v>
      </c>
      <c r="H20" s="25"/>
      <c r="I20" s="25"/>
      <c r="J20" s="25"/>
      <c r="K20" s="25"/>
      <c r="L20" s="25">
        <f>IF(COUNT(E20:G20)&gt;0,ROUNDDOWN(L18/L19,2),0)</f>
        <v>0</v>
      </c>
      <c r="M20" s="25"/>
      <c r="N20" s="25"/>
      <c r="O20" s="25"/>
      <c r="P20" s="25"/>
      <c r="Q20" s="25"/>
      <c r="R20" s="25"/>
      <c r="S20" s="22"/>
      <c r="T20" s="21"/>
      <c r="U20" s="23"/>
      <c r="V20" s="22">
        <f>IF(G20="N/A",1,0)</f>
        <v>1</v>
      </c>
      <c r="W20" s="22">
        <v>3</v>
      </c>
      <c r="X20" s="21"/>
      <c r="Y20" s="21"/>
      <c r="Z20" s="21"/>
    </row>
    <row r="21" spans="1:26" x14ac:dyDescent="0.25">
      <c r="A21" s="21"/>
      <c r="B21" s="21"/>
      <c r="C21" s="400" t="s">
        <v>166</v>
      </c>
      <c r="D21" s="400"/>
      <c r="E21" s="25">
        <v>0.8</v>
      </c>
      <c r="F21" s="25">
        <v>0.8</v>
      </c>
      <c r="G21" s="25">
        <v>0.8</v>
      </c>
      <c r="H21" s="25"/>
      <c r="I21" s="25"/>
      <c r="J21" s="25"/>
      <c r="K21" s="25"/>
      <c r="L21" s="25">
        <v>0.8</v>
      </c>
      <c r="M21" s="25"/>
      <c r="N21" s="25"/>
      <c r="O21" s="25"/>
      <c r="P21" s="25"/>
      <c r="Q21" s="25"/>
      <c r="R21" s="25"/>
      <c r="S21" s="23"/>
      <c r="T21" s="23"/>
      <c r="U21" s="23"/>
      <c r="V21" s="22">
        <f>IF(H20="N/A",1,0)</f>
        <v>0</v>
      </c>
      <c r="W21" s="22">
        <v>4</v>
      </c>
      <c r="X21" s="21"/>
      <c r="Y21" s="21"/>
      <c r="Z21" s="21"/>
    </row>
    <row r="22" spans="1:26" x14ac:dyDescent="0.25">
      <c r="A22" s="21"/>
      <c r="B22" s="21"/>
      <c r="C22" s="23"/>
      <c r="D22" s="23"/>
      <c r="E22" s="23"/>
      <c r="F22" s="23"/>
      <c r="G22" s="23"/>
      <c r="H22" s="23"/>
      <c r="I22" s="23"/>
      <c r="J22" s="23"/>
      <c r="K22" s="23"/>
      <c r="L22" s="23"/>
      <c r="M22" s="23"/>
      <c r="N22" s="23"/>
      <c r="O22" s="23"/>
      <c r="P22" s="23"/>
      <c r="Q22" s="23"/>
      <c r="R22" s="23"/>
      <c r="S22" s="23"/>
      <c r="T22" s="23"/>
      <c r="U22" s="23"/>
      <c r="V22" s="22">
        <f>IF(I20="N/A",1,0)</f>
        <v>0</v>
      </c>
      <c r="W22" s="22">
        <v>5</v>
      </c>
      <c r="X22" s="21"/>
      <c r="Y22" s="21"/>
      <c r="Z22" s="21"/>
    </row>
    <row r="23" spans="1:26" x14ac:dyDescent="0.25">
      <c r="A23" s="21"/>
      <c r="B23" s="21"/>
      <c r="C23" s="407" t="s">
        <v>167</v>
      </c>
      <c r="D23" s="407"/>
      <c r="E23" s="22">
        <f>IF(ISBLANK(Questions_QMS!S9),"",IF(C2&gt;0,0,1))</f>
        <v>1</v>
      </c>
      <c r="F23" s="22">
        <f>IF(ISBLANK(Questions_QMS!#REF!),-1,IF(C3&gt;0,0,1))</f>
        <v>1</v>
      </c>
      <c r="G23" s="22">
        <f>IF(ISBLANK(Questions_QMS!#REF!),-1,IF(C4&gt;0,0,1))</f>
        <v>1</v>
      </c>
      <c r="H23" s="22"/>
      <c r="I23" s="22"/>
      <c r="J23" s="22"/>
      <c r="K23" s="22"/>
      <c r="L23" s="22">
        <f>SUM(E23:J23)</f>
        <v>3</v>
      </c>
      <c r="M23" s="22"/>
      <c r="N23" s="22"/>
      <c r="O23" s="22"/>
      <c r="P23" s="22"/>
      <c r="Q23" s="22"/>
      <c r="R23" s="22"/>
      <c r="S23" s="23"/>
      <c r="T23" s="21"/>
      <c r="U23" s="23"/>
      <c r="V23" s="22">
        <f>IF(J20="N/A",1,0)</f>
        <v>0</v>
      </c>
      <c r="W23" s="22">
        <v>6</v>
      </c>
      <c r="X23" s="21"/>
      <c r="Y23" s="21"/>
      <c r="Z23" s="21"/>
    </row>
    <row r="24" spans="1:26" x14ac:dyDescent="0.25">
      <c r="A24" s="21"/>
      <c r="B24" s="21"/>
      <c r="C24" s="22"/>
      <c r="D24" s="23"/>
      <c r="E24" s="22"/>
      <c r="F24" s="23"/>
      <c r="G24" s="23"/>
      <c r="H24" s="23"/>
      <c r="I24" s="23"/>
      <c r="J24" s="23"/>
      <c r="K24" s="23"/>
      <c r="L24" s="23"/>
      <c r="M24" s="23"/>
      <c r="N24" s="22"/>
      <c r="O24" s="23"/>
      <c r="P24" s="23"/>
      <c r="Q24" s="23"/>
      <c r="R24" s="23"/>
      <c r="S24" s="23"/>
      <c r="T24" s="23"/>
      <c r="U24" s="23"/>
      <c r="V24" s="22"/>
      <c r="W24" s="22"/>
      <c r="X24" s="21"/>
      <c r="Y24" s="21"/>
      <c r="Z24" s="21"/>
    </row>
    <row r="25" spans="1:26" x14ac:dyDescent="0.25">
      <c r="A25" s="21"/>
      <c r="B25" s="21"/>
      <c r="C25" s="22"/>
      <c r="D25" s="23"/>
      <c r="E25" s="22"/>
      <c r="F25" s="23"/>
      <c r="G25" s="23"/>
      <c r="H25" s="23"/>
      <c r="I25" s="23"/>
      <c r="J25" s="23"/>
      <c r="K25" s="23"/>
      <c r="L25" s="23"/>
      <c r="M25" s="23"/>
      <c r="N25" s="22"/>
      <c r="O25" s="23"/>
      <c r="P25" s="23"/>
      <c r="Q25" s="23"/>
      <c r="R25" s="23"/>
      <c r="S25" s="23"/>
      <c r="T25" s="23"/>
      <c r="U25" s="23"/>
      <c r="V25" s="22"/>
      <c r="W25" s="22"/>
      <c r="X25" s="21"/>
      <c r="Y25" s="21"/>
      <c r="Z25" s="21"/>
    </row>
    <row r="26" spans="1:26" x14ac:dyDescent="0.25">
      <c r="A26" s="21"/>
      <c r="B26" s="21"/>
      <c r="C26" s="23"/>
      <c r="D26" s="23"/>
      <c r="E26" s="23"/>
      <c r="F26" s="23"/>
      <c r="G26" s="23"/>
      <c r="H26" s="23"/>
      <c r="I26" s="23"/>
      <c r="J26" s="23"/>
      <c r="K26" s="23"/>
      <c r="L26" s="23"/>
      <c r="M26" s="23"/>
      <c r="N26" s="23"/>
      <c r="O26" s="23"/>
      <c r="P26" s="23"/>
      <c r="Q26" s="23"/>
      <c r="R26" s="23"/>
      <c r="S26" s="23"/>
      <c r="T26" s="23"/>
      <c r="U26" s="23"/>
      <c r="V26" s="22"/>
      <c r="W26" s="22"/>
      <c r="X26" s="21"/>
      <c r="Y26" s="21"/>
      <c r="Z26" s="21"/>
    </row>
    <row r="27" spans="1:26" x14ac:dyDescent="0.25">
      <c r="A27" s="21"/>
      <c r="B27" s="21"/>
      <c r="C27" s="23"/>
      <c r="D27" s="23"/>
      <c r="E27" s="23"/>
      <c r="F27" s="23"/>
      <c r="G27" s="23"/>
      <c r="H27" s="23"/>
      <c r="I27" s="23"/>
      <c r="J27" s="23"/>
      <c r="K27" s="23"/>
      <c r="L27" s="23"/>
      <c r="M27" s="23"/>
      <c r="N27" s="26" t="s">
        <v>165</v>
      </c>
      <c r="O27" s="22" t="s">
        <v>168</v>
      </c>
      <c r="P27" s="22" t="s">
        <v>155</v>
      </c>
      <c r="Q27" s="23"/>
      <c r="R27" s="26" t="s">
        <v>165</v>
      </c>
      <c r="S27" s="22" t="s">
        <v>168</v>
      </c>
      <c r="T27" s="22" t="s">
        <v>155</v>
      </c>
      <c r="U27" s="23"/>
      <c r="V27" s="22"/>
      <c r="W27" s="22"/>
      <c r="X27" s="21"/>
      <c r="Y27" s="21"/>
      <c r="Z27" s="21"/>
    </row>
    <row r="28" spans="1:26" x14ac:dyDescent="0.25">
      <c r="A28" s="21"/>
      <c r="B28" s="21"/>
      <c r="C28" s="23"/>
      <c r="D28" s="23"/>
      <c r="E28" s="23"/>
      <c r="F28" s="23"/>
      <c r="G28" s="23"/>
      <c r="H28" s="23"/>
      <c r="I28" s="23"/>
      <c r="J28" s="23"/>
      <c r="K28" s="23"/>
      <c r="L28" s="23"/>
      <c r="M28" s="23"/>
      <c r="N28" s="22" t="str">
        <f>IF(L20&lt;0.6,"No Approval / Keine Freigabe",IF(L20&lt;0.899,"Deviation established / Abweichungen festgestellt",IF(L20&gt;=0.9,"Requirement satisfy / Anforderungen erfüllt","")))</f>
        <v>No Approval / Keine Freigabe</v>
      </c>
      <c r="O28" s="22" t="str">
        <f>IF(L23&lt;0,"Z",IF(L23=0,"Y",IF(L23&gt;0,"X","")))</f>
        <v>X</v>
      </c>
      <c r="P28" s="22">
        <f>IF(L23=V33,1,2)</f>
        <v>2</v>
      </c>
      <c r="Q28" s="23"/>
      <c r="R28" s="22" t="str">
        <f>IF(L20&lt;0.6,"C",IF(L20&lt;0.899,"B",IF(L20&gt;=0.9,"A",0)))</f>
        <v>C</v>
      </c>
      <c r="S28" s="22" t="str">
        <f>IF(W23&lt;0,"Z",IF(W23=0,"Y",IF(W23&gt;0,"X","")))</f>
        <v>X</v>
      </c>
      <c r="T28" s="22">
        <f>IF(W23=AA33,1,2)</f>
        <v>2</v>
      </c>
      <c r="U28" s="23"/>
      <c r="V28" s="22"/>
      <c r="W28" s="22"/>
      <c r="X28" s="21"/>
      <c r="Y28" s="21"/>
      <c r="Z28" s="21"/>
    </row>
    <row r="29" spans="1:26" x14ac:dyDescent="0.25">
      <c r="A29" s="21"/>
      <c r="B29" s="21"/>
      <c r="C29" s="23"/>
      <c r="D29" s="23"/>
      <c r="E29" s="23"/>
      <c r="F29" s="23"/>
      <c r="G29" s="23"/>
      <c r="H29" s="23"/>
      <c r="I29" s="23"/>
      <c r="J29" s="23"/>
      <c r="K29" s="23"/>
      <c r="L29" s="23"/>
      <c r="M29" s="23"/>
      <c r="N29" s="23"/>
      <c r="O29" s="23"/>
      <c r="P29" s="23"/>
      <c r="Q29" s="23"/>
      <c r="R29" s="23"/>
      <c r="S29" s="23"/>
      <c r="T29" s="23"/>
      <c r="U29" s="23"/>
      <c r="V29" s="22"/>
      <c r="W29" s="22"/>
      <c r="X29" s="21"/>
      <c r="Y29" s="21"/>
      <c r="Z29" s="21"/>
    </row>
    <row r="30" spans="1:26" x14ac:dyDescent="0.25">
      <c r="A30" s="21"/>
      <c r="B30" s="21"/>
      <c r="C30" s="23"/>
      <c r="D30" s="23"/>
      <c r="E30" s="23"/>
      <c r="F30" s="23"/>
      <c r="G30" s="23"/>
      <c r="H30" s="23"/>
      <c r="I30" s="23"/>
      <c r="J30" s="23"/>
      <c r="K30" s="23"/>
      <c r="L30" s="23"/>
      <c r="M30" s="23"/>
      <c r="N30" s="23"/>
      <c r="O30" s="23"/>
      <c r="P30" s="23"/>
      <c r="Q30" s="23"/>
      <c r="R30" s="23"/>
      <c r="S30" s="23"/>
      <c r="T30" s="23"/>
      <c r="U30" s="23"/>
      <c r="V30" s="22"/>
      <c r="W30" s="22"/>
      <c r="X30" s="21"/>
      <c r="Y30" s="21"/>
      <c r="Z30" s="21"/>
    </row>
    <row r="31" spans="1:26" x14ac:dyDescent="0.25">
      <c r="A31" s="21"/>
      <c r="B31" s="21"/>
      <c r="C31" s="23"/>
      <c r="D31" s="23"/>
      <c r="E31" s="23"/>
      <c r="F31" s="23"/>
      <c r="G31" s="23"/>
      <c r="H31" s="23"/>
      <c r="I31" s="23"/>
      <c r="J31" s="23"/>
      <c r="K31" s="23"/>
      <c r="L31" s="23"/>
      <c r="M31" s="23"/>
      <c r="N31" s="23"/>
      <c r="O31" s="23"/>
      <c r="P31" s="23"/>
      <c r="Q31" s="23"/>
      <c r="R31" s="23"/>
      <c r="S31" s="23"/>
      <c r="T31" s="23"/>
      <c r="U31" s="23"/>
      <c r="V31" s="22"/>
      <c r="W31" s="22"/>
      <c r="X31" s="21"/>
      <c r="Y31" s="21"/>
      <c r="Z31" s="21"/>
    </row>
    <row r="32" spans="1:26" x14ac:dyDescent="0.25">
      <c r="A32" s="21"/>
      <c r="B32" s="21"/>
      <c r="C32" s="23"/>
      <c r="D32" s="23"/>
      <c r="E32" s="23"/>
      <c r="F32" s="23"/>
      <c r="G32" s="23"/>
      <c r="H32" s="23"/>
      <c r="I32" s="23"/>
      <c r="J32" s="23"/>
      <c r="K32" s="23"/>
      <c r="L32" s="23"/>
      <c r="M32" s="23"/>
      <c r="N32" s="23"/>
      <c r="O32" s="23"/>
      <c r="P32" s="23"/>
      <c r="Q32" s="23"/>
      <c r="R32" s="23"/>
      <c r="S32" s="23"/>
      <c r="T32" s="23"/>
      <c r="U32" s="23"/>
      <c r="V32" s="22"/>
      <c r="W32" s="22"/>
      <c r="X32" s="21"/>
      <c r="Y32" s="21"/>
      <c r="Z32" s="21"/>
    </row>
    <row r="33" spans="1:26" x14ac:dyDescent="0.25">
      <c r="A33" s="21"/>
      <c r="B33" s="401" t="str">
        <f>IF(N28="Requirement satisfy / Anforderungen erfüllt","approval for series supply / Freigabe für Serienlieferung.",IF(N28="Deviation established / Abweichungen festgestellt","conditionally approved, work on a actionplan and imagine KB / Freigabe mit Auflage, Maßnahmenplan erarbeiten und KB vorstellen.",IF(N28="No Approval / keine Freigabe","No approval for series supply / Keine Freigabe für Serienlieferungen",)))</f>
        <v>No approval for series supply / Keine Freigabe für Serienlieferungen</v>
      </c>
      <c r="C33" s="402"/>
      <c r="D33" s="402"/>
      <c r="E33" s="402"/>
      <c r="F33" s="402"/>
      <c r="G33" s="402"/>
      <c r="H33" s="402"/>
      <c r="I33" s="402"/>
      <c r="J33" s="402"/>
      <c r="K33" s="402"/>
      <c r="L33" s="402"/>
      <c r="M33" s="402"/>
      <c r="N33" s="402"/>
      <c r="O33" s="403"/>
      <c r="P33" s="23"/>
      <c r="Q33" s="23"/>
      <c r="R33" s="23"/>
      <c r="S33" s="23"/>
      <c r="T33" s="23"/>
      <c r="U33" s="23"/>
      <c r="V33" s="22"/>
      <c r="W33" s="23"/>
      <c r="X33" s="21"/>
      <c r="Y33" s="21"/>
      <c r="Z33" s="21"/>
    </row>
    <row r="34" spans="1:26" x14ac:dyDescent="0.25">
      <c r="A34" s="21"/>
      <c r="B34" s="404"/>
      <c r="C34" s="405"/>
      <c r="D34" s="405"/>
      <c r="E34" s="405"/>
      <c r="F34" s="405"/>
      <c r="G34" s="405"/>
      <c r="H34" s="405"/>
      <c r="I34" s="405"/>
      <c r="J34" s="405"/>
      <c r="K34" s="405"/>
      <c r="L34" s="405"/>
      <c r="M34" s="405"/>
      <c r="N34" s="405"/>
      <c r="O34" s="406"/>
      <c r="P34" s="21"/>
      <c r="Q34" s="21"/>
      <c r="R34" s="21"/>
      <c r="S34" s="21"/>
      <c r="T34" s="21"/>
      <c r="U34" s="21"/>
      <c r="V34" s="21"/>
      <c r="W34" s="21"/>
      <c r="X34" s="21"/>
      <c r="Y34" s="21"/>
      <c r="Z34" s="21"/>
    </row>
    <row r="35" spans="1:26" x14ac:dyDescent="0.2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row>
    <row r="36" spans="1:26" x14ac:dyDescent="0.25">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row>
  </sheetData>
  <customSheetViews>
    <customSheetView guid="{94C000B2-F1E8-4309-B026-879312EBDDFE}" scale="66" state="hidden" showRuler="0">
      <selection activeCell="C17" sqref="C17"/>
      <pageMargins left="0.78740157499999996" right="0.78740157499999996" top="0.984251969" bottom="0.984251969" header="0.4921259845" footer="0.4921259845"/>
      <pageSetup paperSize="9" orientation="portrait" horizontalDpi="4294967293" verticalDpi="300" r:id="rId1"/>
      <headerFooter alignWithMargins="0"/>
    </customSheetView>
    <customSheetView guid="{361266F1-4AF5-4F0A-8FC6-0F39C1250F75}" scale="66" printArea="1" state="hidden">
      <selection activeCell="C17" sqref="C17"/>
      <pageMargins left="0.78740157499999996" right="0.78740157499999996" top="0.984251969" bottom="0.984251969" header="0.4921259845" footer="0.4921259845"/>
      <pageSetup paperSize="9" orientation="portrait" horizontalDpi="4294967293" verticalDpi="300" r:id="rId2"/>
      <headerFooter alignWithMargins="0"/>
    </customSheetView>
  </customSheetViews>
  <mergeCells count="8">
    <mergeCell ref="A1:B1"/>
    <mergeCell ref="C16:D16"/>
    <mergeCell ref="C18:D18"/>
    <mergeCell ref="C19:D19"/>
    <mergeCell ref="B33:O34"/>
    <mergeCell ref="C20:D20"/>
    <mergeCell ref="C21:D21"/>
    <mergeCell ref="C23:D23"/>
  </mergeCells>
  <phoneticPr fontId="10" type="noConversion"/>
  <pageMargins left="0.78740157499999996" right="0.78740157499999996" top="0.984251969" bottom="0.984251969" header="0.4921259845" footer="0.4921259845"/>
  <pageSetup paperSize="9" orientation="portrait" horizontalDpi="4294967293" verticalDpi="300"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Frontpage </vt:lpstr>
      <vt:lpstr>Company_Profile</vt:lpstr>
      <vt:lpstr>Quality</vt:lpstr>
      <vt:lpstr>Questions_QMS</vt:lpstr>
      <vt:lpstr>Questions_H_S</vt:lpstr>
      <vt:lpstr>Questions_GCP</vt:lpstr>
      <vt:lpstr>Company_Profile!Print_Area</vt:lpstr>
      <vt:lpstr>Formeln!Print_Area</vt:lpstr>
      <vt:lpstr>'Frontpage '!Print_Area</vt:lpstr>
      <vt:lpstr>Quality!Print_Area</vt:lpstr>
      <vt:lpstr>Questions_GCP!Print_Area</vt:lpstr>
      <vt:lpstr>Questions_H_S!Print_Area</vt:lpstr>
      <vt:lpstr>Questions_QMS!Print_Area</vt:lpstr>
      <vt:lpstr>Company_Profile!Print_Titles</vt:lpstr>
      <vt:lpstr>Quality!Print_Titles</vt:lpstr>
      <vt:lpstr>Questions_GCP!Print_Titles</vt:lpstr>
      <vt:lpstr>Questions_H_S!Print_Titles</vt:lpstr>
      <vt:lpstr>Questions_QMS!Print_Titles</vt:lpstr>
    </vt:vector>
  </TitlesOfParts>
  <Company>Knorr Bremse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MP</dc:title>
  <dc:creator>Lachenschmidt</dc:creator>
  <cp:lastModifiedBy>Wood, Matthew</cp:lastModifiedBy>
  <cp:lastPrinted>2013-01-07T09:31:53Z</cp:lastPrinted>
  <dcterms:created xsi:type="dcterms:W3CDTF">2005-10-21T07:56:14Z</dcterms:created>
  <dcterms:modified xsi:type="dcterms:W3CDTF">2020-02-13T13:57:03Z</dcterms:modified>
</cp:coreProperties>
</file>